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yanleyland2/Documents/BWL Papers etc/Website files/"/>
    </mc:Choice>
  </mc:AlternateContent>
  <xr:revisionPtr revIDLastSave="0" documentId="8_{E9F2DD98-E0F5-3649-9813-5452DB778CCB}" xr6:coauthVersionLast="45" xr6:coauthVersionMax="45" xr10:uidLastSave="{00000000-0000-0000-0000-000000000000}"/>
  <bookViews>
    <workbookView xWindow="9720" yWindow="3820" windowWidth="27040" windowHeight="21040" xr2:uid="{00000000-000D-0000-FFFF-FFFF00000000}"/>
  </bookViews>
  <sheets>
    <sheet name="MASTER" sheetId="1" r:id="rId1"/>
  </sheets>
  <definedNames>
    <definedName name="Hn">MASTER!$E$61:$K$61</definedName>
    <definedName name="K">MASTER!$E$92</definedName>
    <definedName name="Kc">MASTER!$E$92</definedName>
    <definedName name="kW">MASTER!$E$67:$K$67</definedName>
    <definedName name="_xlnm.Print_Titles" localSheetId="0">MASTER!$4:$9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H9" i="1"/>
  <c r="I9" i="1"/>
  <c r="I48" i="1"/>
  <c r="I82" i="1" s="1"/>
  <c r="H48" i="1"/>
  <c r="E48" i="1"/>
  <c r="G48" i="1"/>
  <c r="F48" i="1"/>
  <c r="F82" i="1" s="1"/>
  <c r="G43" i="1"/>
  <c r="E43" i="1"/>
  <c r="I38" i="1"/>
  <c r="H38" i="1"/>
  <c r="G38" i="1"/>
  <c r="E38" i="1"/>
  <c r="F9" i="1"/>
  <c r="E9" i="1"/>
  <c r="F93" i="1"/>
  <c r="H37" i="1"/>
  <c r="G37" i="1"/>
  <c r="F49" i="1"/>
  <c r="G49" i="1"/>
  <c r="H49" i="1"/>
  <c r="I49" i="1"/>
  <c r="E49" i="1"/>
  <c r="F51" i="1"/>
  <c r="F40" i="1"/>
  <c r="E51" i="1"/>
  <c r="F38" i="1"/>
  <c r="G27" i="1"/>
  <c r="H27" i="1"/>
  <c r="I27" i="1"/>
  <c r="L101" i="1"/>
  <c r="P3" i="1"/>
  <c r="P2" i="1"/>
  <c r="F1" i="1"/>
  <c r="M96" i="1"/>
  <c r="G51" i="1"/>
  <c r="G52" i="1" s="1"/>
  <c r="G59" i="1" s="1"/>
  <c r="G60" i="1" s="1"/>
  <c r="G40" i="1"/>
  <c r="H51" i="1"/>
  <c r="H40" i="1"/>
  <c r="I51" i="1"/>
  <c r="I40" i="1"/>
  <c r="E40" i="1"/>
  <c r="G24" i="1"/>
  <c r="G26" i="1" s="1"/>
  <c r="G25" i="1"/>
  <c r="E54" i="1"/>
  <c r="E58" i="1"/>
  <c r="E57" i="1"/>
  <c r="F24" i="1"/>
  <c r="F25" i="1"/>
  <c r="H29" i="1"/>
  <c r="H28" i="1" s="1"/>
  <c r="H80" i="1" s="1"/>
  <c r="H24" i="1"/>
  <c r="I24" i="1"/>
  <c r="I26" i="1" s="1"/>
  <c r="I25" i="1"/>
  <c r="E24" i="1"/>
  <c r="E27" i="1" s="1"/>
  <c r="E25" i="1"/>
  <c r="E26" i="1" s="1"/>
  <c r="E29" i="1" s="1"/>
  <c r="E28" i="1" s="1"/>
  <c r="H25" i="1"/>
  <c r="H26" i="1" s="1"/>
  <c r="F54" i="1"/>
  <c r="F58" i="1"/>
  <c r="H54" i="1"/>
  <c r="H58" i="1"/>
  <c r="H57" i="1"/>
  <c r="I54" i="1"/>
  <c r="I58" i="1" s="1"/>
  <c r="I57" i="1"/>
  <c r="H35" i="1"/>
  <c r="I35" i="1"/>
  <c r="I37" i="1" s="1"/>
  <c r="I81" i="1" s="1"/>
  <c r="H81" i="1"/>
  <c r="H82" i="1"/>
  <c r="H89" i="1"/>
  <c r="H116" i="1" s="1"/>
  <c r="I89" i="1"/>
  <c r="I116" i="1" s="1"/>
  <c r="I97" i="1"/>
  <c r="I104" i="1" s="1"/>
  <c r="I118" i="1" s="1"/>
  <c r="H106" i="1"/>
  <c r="H112" i="1" s="1"/>
  <c r="H119" i="1" s="1"/>
  <c r="I106" i="1"/>
  <c r="I112" i="1" s="1"/>
  <c r="I119" i="1" s="1"/>
  <c r="G54" i="1"/>
  <c r="G58" i="1"/>
  <c r="G61" i="1" s="1"/>
  <c r="G66" i="1" s="1"/>
  <c r="G67" i="1" s="1"/>
  <c r="G57" i="1"/>
  <c r="G106" i="1"/>
  <c r="G112" i="1"/>
  <c r="G119" i="1" s="1"/>
  <c r="G35" i="1"/>
  <c r="G81" i="1" s="1"/>
  <c r="G82" i="1"/>
  <c r="G89" i="1"/>
  <c r="G116" i="1"/>
  <c r="F57" i="1"/>
  <c r="F106" i="1"/>
  <c r="F112" i="1" s="1"/>
  <c r="F119" i="1" s="1"/>
  <c r="F35" i="1"/>
  <c r="F89" i="1"/>
  <c r="F116" i="1" s="1"/>
  <c r="E106" i="1"/>
  <c r="E112" i="1"/>
  <c r="E119" i="1" s="1"/>
  <c r="E35" i="1"/>
  <c r="E37" i="1" s="1"/>
  <c r="E81" i="1" s="1"/>
  <c r="E82" i="1"/>
  <c r="E89" i="1"/>
  <c r="E116" i="1"/>
  <c r="G46" i="1"/>
  <c r="D139" i="1"/>
  <c r="D140" i="1"/>
  <c r="D138" i="1"/>
  <c r="D136" i="1"/>
  <c r="D137" i="1"/>
  <c r="D135" i="1"/>
  <c r="B50" i="1"/>
  <c r="B133" i="1"/>
  <c r="B139" i="1"/>
  <c r="B140" i="1" s="1"/>
  <c r="B115" i="1"/>
  <c r="B6" i="1"/>
  <c r="B7" i="1"/>
  <c r="I52" i="1" l="1"/>
  <c r="I59" i="1" s="1"/>
  <c r="I60" i="1" s="1"/>
  <c r="H52" i="1"/>
  <c r="H59" i="1" s="1"/>
  <c r="H60" i="1" s="1"/>
  <c r="H84" i="1"/>
  <c r="H115" i="1" s="1"/>
  <c r="H117" i="1" s="1"/>
  <c r="F26" i="1"/>
  <c r="F29" i="1" s="1"/>
  <c r="F28" i="1" s="1"/>
  <c r="F80" i="1" s="1"/>
  <c r="F27" i="1"/>
  <c r="F37" i="1"/>
  <c r="F81" i="1" s="1"/>
  <c r="E52" i="1"/>
  <c r="E59" i="1" s="1"/>
  <c r="E60" i="1" s="1"/>
  <c r="F52" i="1"/>
  <c r="F59" i="1" s="1"/>
  <c r="F61" i="1" s="1"/>
  <c r="F66" i="1" s="1"/>
  <c r="F67" i="1" s="1"/>
  <c r="I120" i="1"/>
  <c r="G93" i="1"/>
  <c r="G97" i="1" s="1"/>
  <c r="G104" i="1" s="1"/>
  <c r="G118" i="1" s="1"/>
  <c r="G120" i="1" s="1"/>
  <c r="G68" i="1"/>
  <c r="G71" i="1" s="1"/>
  <c r="G75" i="1"/>
  <c r="G126" i="1" s="1"/>
  <c r="G127" i="1" s="1"/>
  <c r="I29" i="1"/>
  <c r="I28" i="1" s="1"/>
  <c r="I80" i="1" s="1"/>
  <c r="I84" i="1" s="1"/>
  <c r="I115" i="1" s="1"/>
  <c r="E84" i="1"/>
  <c r="E115" i="1" s="1"/>
  <c r="G29" i="1"/>
  <c r="G28" i="1" s="1"/>
  <c r="G80" i="1" s="1"/>
  <c r="G84" i="1" s="1"/>
  <c r="G115" i="1" s="1"/>
  <c r="I61" i="1"/>
  <c r="I66" i="1" s="1"/>
  <c r="I67" i="1" s="1"/>
  <c r="I43" i="1" s="1"/>
  <c r="I46" i="1"/>
  <c r="H46" i="1"/>
  <c r="H61" i="1" l="1"/>
  <c r="H66" i="1" s="1"/>
  <c r="H67" i="1" s="1"/>
  <c r="F84" i="1"/>
  <c r="F115" i="1" s="1"/>
  <c r="F117" i="1" s="1"/>
  <c r="F97" i="1"/>
  <c r="F104" i="1" s="1"/>
  <c r="F118" i="1" s="1"/>
  <c r="F120" i="1" s="1"/>
  <c r="F43" i="1"/>
  <c r="E61" i="1"/>
  <c r="E66" i="1" s="1"/>
  <c r="E67" i="1" s="1"/>
  <c r="E75" i="1" s="1"/>
  <c r="E126" i="1" s="1"/>
  <c r="E127" i="1" s="1"/>
  <c r="E130" i="1" s="1"/>
  <c r="F68" i="1"/>
  <c r="F71" i="1" s="1"/>
  <c r="F60" i="1"/>
  <c r="F75" i="1"/>
  <c r="F126" i="1" s="1"/>
  <c r="F127" i="1" s="1"/>
  <c r="F131" i="1" s="1"/>
  <c r="G131" i="1"/>
  <c r="G130" i="1"/>
  <c r="G129" i="1"/>
  <c r="I93" i="1"/>
  <c r="I68" i="1"/>
  <c r="I71" i="1" s="1"/>
  <c r="I75" i="1"/>
  <c r="I126" i="1" s="1"/>
  <c r="I127" i="1" s="1"/>
  <c r="I117" i="1"/>
  <c r="I121" i="1" s="1"/>
  <c r="I123" i="1" s="1"/>
  <c r="E117" i="1"/>
  <c r="G117" i="1"/>
  <c r="G121" i="1" s="1"/>
  <c r="G123" i="1" s="1"/>
  <c r="H68" i="1" l="1"/>
  <c r="H71" i="1" s="1"/>
  <c r="H43" i="1"/>
  <c r="H75" i="1"/>
  <c r="H126" i="1" s="1"/>
  <c r="H127" i="1" s="1"/>
  <c r="H93" i="1"/>
  <c r="H97" i="1" s="1"/>
  <c r="H104" i="1" s="1"/>
  <c r="H118" i="1" s="1"/>
  <c r="E131" i="1"/>
  <c r="E93" i="1"/>
  <c r="E97" i="1" s="1"/>
  <c r="E104" i="1" s="1"/>
  <c r="E118" i="1" s="1"/>
  <c r="E120" i="1" s="1"/>
  <c r="E129" i="1"/>
  <c r="E68" i="1"/>
  <c r="E71" i="1" s="1"/>
  <c r="F129" i="1"/>
  <c r="F130" i="1"/>
  <c r="F121" i="1"/>
  <c r="F123" i="1" s="1"/>
  <c r="F133" i="1" s="1"/>
  <c r="F134" i="1" s="1"/>
  <c r="G125" i="1"/>
  <c r="G133" i="1"/>
  <c r="G134" i="1" s="1"/>
  <c r="G135" i="1" s="1"/>
  <c r="G138" i="1" s="1"/>
  <c r="G128" i="1"/>
  <c r="I128" i="1"/>
  <c r="I133" i="1"/>
  <c r="I134" i="1" s="1"/>
  <c r="I125" i="1"/>
  <c r="I131" i="1"/>
  <c r="I129" i="1"/>
  <c r="I130" i="1"/>
  <c r="H120" i="1" l="1"/>
  <c r="H121" i="1"/>
  <c r="H123" i="1" s="1"/>
  <c r="H131" i="1"/>
  <c r="H129" i="1"/>
  <c r="H130" i="1"/>
  <c r="E121" i="1"/>
  <c r="E123" i="1" s="1"/>
  <c r="E125" i="1" s="1"/>
  <c r="F136" i="1"/>
  <c r="F139" i="1" s="1"/>
  <c r="F135" i="1"/>
  <c r="F138" i="1" s="1"/>
  <c r="F128" i="1"/>
  <c r="F125" i="1"/>
  <c r="F137" i="1"/>
  <c r="F140" i="1" s="1"/>
  <c r="I137" i="1"/>
  <c r="I140" i="1" s="1"/>
  <c r="I136" i="1"/>
  <c r="I139" i="1" s="1"/>
  <c r="G137" i="1"/>
  <c r="G140" i="1" s="1"/>
  <c r="G136" i="1"/>
  <c r="G139" i="1" s="1"/>
  <c r="I135" i="1"/>
  <c r="I138" i="1" s="1"/>
  <c r="H128" i="1" l="1"/>
  <c r="H133" i="1"/>
  <c r="H134" i="1" s="1"/>
  <c r="H125" i="1"/>
  <c r="E133" i="1"/>
  <c r="E134" i="1" s="1"/>
  <c r="E136" i="1" s="1"/>
  <c r="E139" i="1" s="1"/>
  <c r="E128" i="1"/>
  <c r="E137" i="1"/>
  <c r="E140" i="1" s="1"/>
  <c r="H135" i="1" l="1"/>
  <c r="H138" i="1" s="1"/>
  <c r="H137" i="1"/>
  <c r="H140" i="1" s="1"/>
  <c r="H136" i="1"/>
  <c r="H139" i="1" s="1"/>
  <c r="E135" i="1"/>
  <c r="E1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Bryan Leyland</author>
  </authors>
  <commentList>
    <comment ref="E4" authorId="0" shapeId="0" xr:uid="{00000000-0006-0000-0000-000001000000}">
      <text>
        <r>
          <rPr>
            <sz val="9"/>
            <color rgb="FF000000"/>
            <rFont val="Helvetica"/>
            <family val="2"/>
          </rPr>
          <t xml:space="preserve">Insert data in green shaded cells only!
</t>
        </r>
      </text>
    </comment>
    <comment ref="K12" authorId="0" shapeId="0" xr:uid="{00000000-0006-0000-0000-000002000000}">
      <text>
        <r>
          <rPr>
            <sz val="9"/>
            <color rgb="FF000000"/>
            <rFont val="Helvetica"/>
            <family val="2"/>
          </rPr>
          <t>Average flow is estimated or calculated from flow/duration curvis</t>
        </r>
      </text>
    </comment>
    <comment ref="K29" authorId="0" shapeId="0" xr:uid="{00000000-0006-0000-0000-000003000000}">
      <text>
        <r>
          <rPr>
            <b/>
            <sz val="9"/>
            <color rgb="FF000000"/>
            <rFont val="Helvetica"/>
            <family val="2"/>
          </rPr>
          <t>Headloss: Adjust Slope and canal dimensions without exceeding allowable velocity for the material</t>
        </r>
        <r>
          <rPr>
            <sz val="9"/>
            <color rgb="FF000000"/>
            <rFont val="Helvetica"/>
            <family val="2"/>
          </rPr>
          <t xml:space="preserve">
</t>
        </r>
        <r>
          <rPr>
            <sz val="9"/>
            <color rgb="FF000000"/>
            <rFont val="Helvetica"/>
            <family val="2"/>
          </rPr>
          <t>flow? = mismatch &gt;5%</t>
        </r>
      </text>
    </comment>
  </commentList>
</comments>
</file>

<file path=xl/sharedStrings.xml><?xml version="1.0" encoding="utf-8"?>
<sst xmlns="http://schemas.openxmlformats.org/spreadsheetml/2006/main" count="264" uniqueCount="202">
  <si>
    <t>Generator</t>
  </si>
  <si>
    <t xml:space="preserve">Main Transformer </t>
  </si>
  <si>
    <t>transport and Installation</t>
  </si>
  <si>
    <t>Intake</t>
  </si>
  <si>
    <t>Rate</t>
  </si>
  <si>
    <t>Headworks</t>
  </si>
  <si>
    <t>Flow</t>
  </si>
  <si>
    <t>m3/s</t>
  </si>
  <si>
    <t xml:space="preserve">Turbine rating </t>
  </si>
  <si>
    <t>Erection &amp; commissioning etc</t>
  </si>
  <si>
    <t>Capital + O&amp;M</t>
  </si>
  <si>
    <t>Printed</t>
  </si>
  <si>
    <t>Powerhouse/Plant</t>
  </si>
  <si>
    <t>%</t>
  </si>
  <si>
    <t>Annual surplus</t>
  </si>
  <si>
    <t>Total</t>
  </si>
  <si>
    <t>Description</t>
  </si>
  <si>
    <t>Efficiency</t>
  </si>
  <si>
    <t>kW</t>
  </si>
  <si>
    <t>No of Turbines</t>
  </si>
  <si>
    <t>mm</t>
    <phoneticPr fontId="11"/>
  </si>
  <si>
    <t>mm</t>
    <phoneticPr fontId="11"/>
  </si>
  <si>
    <t>Hazen Williams C</t>
    <phoneticPr fontId="11"/>
  </si>
  <si>
    <t>No of Transformers</t>
  </si>
  <si>
    <t xml:space="preserve">Trans line length </t>
  </si>
  <si>
    <t>km</t>
  </si>
  <si>
    <t>m</t>
  </si>
  <si>
    <t>Headloss % of gross head</t>
  </si>
  <si>
    <t>$/tonne.</t>
  </si>
  <si>
    <t>Item</t>
  </si>
  <si>
    <t>Transmission</t>
  </si>
  <si>
    <t>kW sent out (incl TF loss)</t>
  </si>
  <si>
    <t>Assumed thickness</t>
  </si>
  <si>
    <t>Trans line cost (installed)</t>
  </si>
  <si>
    <t>Transmission Total</t>
  </si>
  <si>
    <t>Machinery</t>
  </si>
  <si>
    <t>Sub Total</t>
  </si>
  <si>
    <t>Powerhouse Plant</t>
  </si>
  <si>
    <t>$000/kW Total</t>
  </si>
  <si>
    <t xml:space="preserve">O&amp;M </t>
  </si>
  <si>
    <t>HV &amp; LV cabling</t>
  </si>
  <si>
    <t>Crane &amp; misc mech, pumps etc</t>
  </si>
  <si>
    <t>Civil works and installation</t>
  </si>
  <si>
    <t>Intake and penstocks</t>
  </si>
  <si>
    <t>Average output</t>
  </si>
  <si>
    <t>Annual MWh</t>
  </si>
  <si>
    <t>$000/MWhpa</t>
  </si>
  <si>
    <t>Return on scheme cost</t>
  </si>
  <si>
    <t>SCADA, metering &amp; communication</t>
  </si>
  <si>
    <t>Generator rating @ 0.9 pf</t>
  </si>
  <si>
    <t>Generator voltage</t>
  </si>
  <si>
    <t>Auxiliary Transformer</t>
  </si>
  <si>
    <t>Project Totals</t>
  </si>
  <si>
    <t>Voltage</t>
  </si>
  <si>
    <t>Machinery Total</t>
  </si>
  <si>
    <t>Speed</t>
  </si>
  <si>
    <t>rpm</t>
  </si>
  <si>
    <t>Transformer rating</t>
  </si>
  <si>
    <t>Access roading</t>
  </si>
  <si>
    <t>Civil total</t>
  </si>
  <si>
    <t>Civil</t>
  </si>
  <si>
    <t>Inlet valve</t>
  </si>
  <si>
    <t>Weight</t>
  </si>
  <si>
    <t>Tonnes</t>
  </si>
  <si>
    <t>$/m</t>
  </si>
  <si>
    <t>Turbine (enter zero to use calculated cost)</t>
    <phoneticPr fontId="11"/>
  </si>
  <si>
    <t>Calculated Turbine, IV and generator cost</t>
    <phoneticPr fontId="11"/>
  </si>
  <si>
    <t>Bryan Leyland Consulting Engineer</t>
  </si>
  <si>
    <t>Hydro scheme data and cost estimates</t>
    <phoneticPr fontId="11"/>
  </si>
  <si>
    <t>Scheme name</t>
    <phoneticPr fontId="11"/>
  </si>
  <si>
    <t>Normal tailwater level</t>
    <phoneticPr fontId="11"/>
  </si>
  <si>
    <t>Turbine CL Level</t>
    <phoneticPr fontId="11"/>
  </si>
  <si>
    <t>Powerhouse</t>
    <phoneticPr fontId="11"/>
  </si>
  <si>
    <t>MV (11-20 kV) Switchgear</t>
    <phoneticPr fontId="11"/>
  </si>
  <si>
    <t>HV (33-132 kV) Switchgear</t>
    <phoneticPr fontId="11"/>
  </si>
  <si>
    <t>kW</t>
    <phoneticPr fontId="11"/>
  </si>
  <si>
    <t xml:space="preserve">Contingency for land, penstocks &amp; civil etc </t>
    <phoneticPr fontId="11"/>
  </si>
  <si>
    <t>Nett head Hn</t>
    <phoneticPr fontId="11"/>
  </si>
  <si>
    <t>Total generator output (eff=0.95)</t>
    <phoneticPr fontId="11"/>
  </si>
  <si>
    <t>COSTS $000</t>
    <phoneticPr fontId="11"/>
  </si>
  <si>
    <t>Civil works - weir and pond</t>
    <phoneticPr fontId="11"/>
  </si>
  <si>
    <t>Pressure thickness (at lower end)</t>
    <phoneticPr fontId="11"/>
  </si>
  <si>
    <t>Penstock total loss</t>
    <phoneticPr fontId="11"/>
  </si>
  <si>
    <t>Land, easements</t>
  </si>
  <si>
    <t xml:space="preserve">Length </t>
  </si>
  <si>
    <t>Number</t>
  </si>
  <si>
    <t>mm</t>
  </si>
  <si>
    <t>m/s</t>
  </si>
  <si>
    <t>Friction head loss</t>
  </si>
  <si>
    <t>Water velocity</t>
  </si>
  <si>
    <t>Powerhouse floor level</t>
  </si>
  <si>
    <t>Gross head</t>
  </si>
  <si>
    <t xml:space="preserve">HDPE penstocks </t>
  </si>
  <si>
    <t>HDPE up to 200 m</t>
  </si>
  <si>
    <t>Diameter OD</t>
  </si>
  <si>
    <t>Average  head</t>
  </si>
  <si>
    <t xml:space="preserve">Steel penstocks </t>
  </si>
  <si>
    <t xml:space="preserve">Contingency for M&amp;E </t>
  </si>
  <si>
    <t>kV</t>
  </si>
  <si>
    <t>Transmission/Distribution</t>
  </si>
  <si>
    <t xml:space="preserve">Design, proj mgmt &amp; supervision </t>
  </si>
  <si>
    <t>Tailwater level</t>
  </si>
  <si>
    <t xml:space="preserve">Turbine CL (Pelton) </t>
  </si>
  <si>
    <t>kVA</t>
  </si>
  <si>
    <t>Calculated diameter</t>
    <phoneticPr fontId="11"/>
  </si>
  <si>
    <t>m</t>
    <phoneticPr fontId="11"/>
  </si>
  <si>
    <t>Diameter adopted</t>
    <phoneticPr fontId="11"/>
  </si>
  <si>
    <t>Pressure thickness (for average head)</t>
    <phoneticPr fontId="11"/>
  </si>
  <si>
    <t>Assumed average thickness</t>
    <phoneticPr fontId="11"/>
  </si>
  <si>
    <t>High press steel penstocks</t>
    <phoneticPr fontId="11"/>
  </si>
  <si>
    <t>Financial return</t>
  </si>
  <si>
    <t>$/kWh</t>
  </si>
  <si>
    <t>$000</t>
  </si>
  <si>
    <t>Turbine Inlet valve and Generator generator cost</t>
  </si>
  <si>
    <t>Cost factor Kc (Cost = Kc*((kW/1000)^0.7)/(Hn^0.3)</t>
  </si>
  <si>
    <t>Turbine type(P =Pelton or R= reaction (Kaplan or Francis)</t>
  </si>
  <si>
    <t>P</t>
  </si>
  <si>
    <t>$/km</t>
  </si>
  <si>
    <t>LV Switchgear &amp; protection</t>
  </si>
  <si>
    <t>Annual average diverted flow</t>
  </si>
  <si>
    <t>Income @</t>
  </si>
  <si>
    <t>Hazen</t>
  </si>
  <si>
    <t>Williams C</t>
  </si>
  <si>
    <t>Cast iron</t>
  </si>
  <si>
    <t>Cement lining</t>
  </si>
  <si>
    <t>Concrete</t>
  </si>
  <si>
    <t>GRP</t>
  </si>
  <si>
    <t>HDPE</t>
  </si>
  <si>
    <t>Painted steel</t>
  </si>
  <si>
    <t>Unpainted steel</t>
  </si>
  <si>
    <t>Bottom width b</t>
  </si>
  <si>
    <t>Depth d</t>
  </si>
  <si>
    <t>Side slope</t>
  </si>
  <si>
    <t>deg</t>
  </si>
  <si>
    <t>Manning's n</t>
  </si>
  <si>
    <t>Slope</t>
  </si>
  <si>
    <t>Area</t>
  </si>
  <si>
    <t>m2</t>
  </si>
  <si>
    <t>Canal</t>
  </si>
  <si>
    <t>Headloss</t>
  </si>
  <si>
    <t>Length</t>
  </si>
  <si>
    <t>Velocity (must not be too high for linnig)</t>
  </si>
  <si>
    <t>m/m</t>
  </si>
  <si>
    <t>Concrete - smooth</t>
  </si>
  <si>
    <t>Masonry</t>
  </si>
  <si>
    <t>Earth - good</t>
  </si>
  <si>
    <t>Earth - rough</t>
  </si>
  <si>
    <t>Rock</t>
  </si>
  <si>
    <t>Approx value</t>
  </si>
  <si>
    <t>note</t>
  </si>
  <si>
    <t>Wetted volume of excavation</t>
  </si>
  <si>
    <t>m3</t>
  </si>
  <si>
    <t>$/m3</t>
  </si>
  <si>
    <t>Estimate</t>
  </si>
  <si>
    <t>PLC &amp; Control gear</t>
  </si>
  <si>
    <t>Roads and powerhouse</t>
  </si>
  <si>
    <t>Reservoir or headpond full level</t>
  </si>
  <si>
    <t>Reservoir Minimum operating level (not used in calcs)</t>
  </si>
  <si>
    <t>Sand</t>
  </si>
  <si>
    <t>Canal water velocities and slopes</t>
  </si>
  <si>
    <t>Material</t>
  </si>
  <si>
    <t>Sideslope v:h</t>
  </si>
  <si>
    <t>max vel m/s</t>
  </si>
  <si>
    <t>Sandy earth</t>
  </si>
  <si>
    <t>1:3</t>
  </si>
  <si>
    <t>1:2</t>
  </si>
  <si>
    <t>Clay/earth</t>
  </si>
  <si>
    <t>1:1.5</t>
  </si>
  <si>
    <t>Clay</t>
  </si>
  <si>
    <t>1:1</t>
  </si>
  <si>
    <t>Bricks/masonry</t>
  </si>
  <si>
    <t>1.5:1 or vertical</t>
  </si>
  <si>
    <t>Plastic lining</t>
  </si>
  <si>
    <t>Depends on</t>
  </si>
  <si>
    <t xml:space="preserve"> foundation</t>
  </si>
  <si>
    <t>1.5-2</t>
  </si>
  <si>
    <t xml:space="preserve">Total headloss excl canal +1 m for inlet and outlet </t>
  </si>
  <si>
    <t>Not used in calcs</t>
  </si>
  <si>
    <t>Estimates can be obtained from local contractors</t>
  </si>
  <si>
    <t>Estimates can be obtained from local fabricators</t>
  </si>
  <si>
    <t>Kc is calculated from a known similar scheme</t>
  </si>
  <si>
    <t>Power kW</t>
  </si>
  <si>
    <t>Nett head Hn</t>
  </si>
  <si>
    <t>Factor Kc</t>
  </si>
  <si>
    <t>Known cost $000</t>
  </si>
  <si>
    <t>Insert standard thicknesses</t>
  </si>
  <si>
    <t>Insert chosen thickness with corrosion allowance</t>
  </si>
  <si>
    <t>JOB NAME:</t>
  </si>
  <si>
    <t>Example</t>
  </si>
  <si>
    <t>Printed:</t>
  </si>
  <si>
    <t>JOB NUMBER:</t>
  </si>
  <si>
    <t>DESCRIPTION:</t>
  </si>
  <si>
    <t>Trial</t>
  </si>
  <si>
    <t>Flow that the canal can carry</t>
  </si>
  <si>
    <t>Hydraulic radius</t>
  </si>
  <si>
    <t>Purua</t>
  </si>
  <si>
    <t>r</t>
  </si>
  <si>
    <t>2 sets</t>
  </si>
  <si>
    <t>1 set</t>
  </si>
  <si>
    <t xml:space="preserve"> Insert known data in green cells</t>
  </si>
  <si>
    <t xml:space="preserve">Scheme </t>
  </si>
  <si>
    <t xml:space="preserve"> walking probably go for six yes just spreadsheet come back to the love of your was reverse engineer will be done is yet no object change fix which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</si>
</sst>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0.000"/>
    <numFmt numFmtId="165" formatCode="0.0"/>
    <numFmt numFmtId="166" formatCode="#,##0.0"/>
    <numFmt numFmtId="167" formatCode="#,##0.000"/>
    <numFmt numFmtId="168" formatCode="0.0%"/>
    <numFmt numFmtId="170" formatCode="#,##0.00000"/>
  </numFmts>
  <fonts count="26">
    <font>
      <sz val="9"/>
      <name val="Helvetica"/>
    </font>
    <font>
      <b/>
      <sz val="9"/>
      <name val="Helvetica"/>
    </font>
    <font>
      <i/>
      <sz val="9"/>
      <name val="Helvetica"/>
    </font>
    <font>
      <sz val="10"/>
      <name val="Geneva"/>
      <family val="2"/>
    </font>
    <font>
      <sz val="9"/>
      <name val="Helvetica"/>
    </font>
    <font>
      <b/>
      <sz val="10"/>
      <name val="Helvetica"/>
    </font>
    <font>
      <sz val="10"/>
      <name val="Helvetica"/>
    </font>
    <font>
      <sz val="9"/>
      <name val="N Helvetica Narrow"/>
    </font>
    <font>
      <b/>
      <sz val="12"/>
      <name val="Helvetica"/>
    </font>
    <font>
      <b/>
      <sz val="12"/>
      <name val="Geneva"/>
    </font>
    <font>
      <sz val="9"/>
      <name val="Helvetica"/>
    </font>
    <font>
      <sz val="8"/>
      <name val="Helvetica"/>
    </font>
    <font>
      <b/>
      <sz val="11"/>
      <name val="Helvetica"/>
    </font>
    <font>
      <sz val="12"/>
      <name val="Helvetica"/>
    </font>
    <font>
      <u/>
      <sz val="10"/>
      <name val="Arial"/>
      <family val="2"/>
    </font>
    <font>
      <b/>
      <sz val="14"/>
      <name val="Geneva"/>
    </font>
    <font>
      <sz val="10"/>
      <name val="Arial"/>
    </font>
    <font>
      <b/>
      <sz val="10"/>
      <name val="Arial"/>
      <family val="2"/>
    </font>
    <font>
      <sz val="10"/>
      <name val="Calibri"/>
      <scheme val="minor"/>
    </font>
    <font>
      <b/>
      <sz val="12"/>
      <name val="Calibri"/>
      <scheme val="minor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name val="Helvetica"/>
      <family val="2"/>
    </font>
    <font>
      <sz val="9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4">
    <xf numFmtId="0" fontId="0" fillId="0" borderId="0"/>
    <xf numFmtId="4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6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1" fillId="0" borderId="0" xfId="0" applyNumberFormat="1" applyFont="1"/>
    <xf numFmtId="3" fontId="0" fillId="0" borderId="0" xfId="0" applyNumberFormat="1"/>
    <xf numFmtId="3" fontId="1" fillId="0" borderId="0" xfId="0" applyNumberFormat="1" applyFont="1" applyBorder="1"/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/>
    <xf numFmtId="3" fontId="5" fillId="0" borderId="0" xfId="0" applyNumberFormat="1" applyFont="1"/>
    <xf numFmtId="3" fontId="6" fillId="0" borderId="0" xfId="0" applyNumberFormat="1" applyFont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Border="1"/>
    <xf numFmtId="164" fontId="4" fillId="0" borderId="0" xfId="0" applyNumberFormat="1" applyFont="1" applyBorder="1"/>
    <xf numFmtId="164" fontId="0" fillId="0" borderId="0" xfId="0" applyNumberFormat="1" applyBorder="1" applyAlignment="1">
      <alignment horizontal="right"/>
    </xf>
    <xf numFmtId="2" fontId="4" fillId="0" borderId="0" xfId="0" applyNumberFormat="1" applyFont="1" applyBorder="1"/>
    <xf numFmtId="3" fontId="0" fillId="0" borderId="0" xfId="0" applyNumberFormat="1" applyBorder="1"/>
    <xf numFmtId="0" fontId="1" fillId="0" borderId="0" xfId="0" applyFont="1" applyBorder="1"/>
    <xf numFmtId="2" fontId="1" fillId="0" borderId="0" xfId="0" applyNumberFormat="1" applyFont="1" applyBorder="1"/>
    <xf numFmtId="4" fontId="0" fillId="0" borderId="0" xfId="1" applyFont="1" applyBorder="1" applyAlignment="1">
      <alignment horizontal="right"/>
    </xf>
    <xf numFmtId="0" fontId="5" fillId="0" borderId="0" xfId="0" applyFont="1" applyBorder="1"/>
    <xf numFmtId="5" fontId="0" fillId="0" borderId="0" xfId="0" applyNumberForma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0" fontId="0" fillId="0" borderId="2" xfId="0" applyBorder="1"/>
    <xf numFmtId="4" fontId="0" fillId="0" borderId="0" xfId="0" applyNumberFormat="1"/>
    <xf numFmtId="0" fontId="1" fillId="0" borderId="3" xfId="0" applyFont="1" applyFill="1" applyBorder="1"/>
    <xf numFmtId="0" fontId="4" fillId="0" borderId="0" xfId="0" applyFont="1" applyFill="1" applyBorder="1"/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3" xfId="0" applyFont="1" applyFill="1" applyBorder="1"/>
    <xf numFmtId="3" fontId="4" fillId="0" borderId="0" xfId="0" applyNumberFormat="1" applyFont="1" applyFill="1" applyBorder="1"/>
    <xf numFmtId="3" fontId="1" fillId="0" borderId="3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4" fontId="0" fillId="0" borderId="0" xfId="1" applyFont="1" applyFill="1" applyBorder="1" applyAlignment="1">
      <alignment horizontal="right"/>
    </xf>
    <xf numFmtId="3" fontId="1" fillId="0" borderId="3" xfId="0" applyNumberFormat="1" applyFont="1" applyBorder="1"/>
    <xf numFmtId="0" fontId="1" fillId="0" borderId="3" xfId="0" applyFont="1" applyBorder="1"/>
    <xf numFmtId="3" fontId="4" fillId="0" borderId="4" xfId="1" applyNumberFormat="1" applyFont="1" applyBorder="1" applyAlignment="1">
      <alignment horizontal="right"/>
    </xf>
    <xf numFmtId="0" fontId="5" fillId="0" borderId="3" xfId="0" applyFont="1" applyBorder="1"/>
    <xf numFmtId="0" fontId="1" fillId="0" borderId="5" xfId="0" applyFont="1" applyFill="1" applyBorder="1"/>
    <xf numFmtId="0" fontId="4" fillId="0" borderId="6" xfId="0" applyFont="1" applyFill="1" applyBorder="1"/>
    <xf numFmtId="0" fontId="0" fillId="0" borderId="6" xfId="0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right"/>
    </xf>
    <xf numFmtId="164" fontId="1" fillId="0" borderId="3" xfId="0" applyNumberFormat="1" applyFont="1" applyBorder="1"/>
    <xf numFmtId="3" fontId="0" fillId="0" borderId="4" xfId="0" applyNumberFormat="1" applyBorder="1"/>
    <xf numFmtId="3" fontId="1" fillId="0" borderId="4" xfId="0" applyNumberFormat="1" applyFont="1" applyBorder="1"/>
    <xf numFmtId="0" fontId="2" fillId="0" borderId="4" xfId="0" applyFont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/>
    <xf numFmtId="0" fontId="6" fillId="0" borderId="0" xfId="0" applyFont="1" applyBorder="1"/>
    <xf numFmtId="9" fontId="0" fillId="0" borderId="0" xfId="0" applyNumberForma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3" fontId="0" fillId="0" borderId="0" xfId="1" applyNumberFormat="1" applyFont="1" applyBorder="1" applyAlignment="1">
      <alignment horizontal="right"/>
    </xf>
    <xf numFmtId="0" fontId="4" fillId="0" borderId="3" xfId="0" applyFont="1" applyBorder="1"/>
    <xf numFmtId="0" fontId="10" fillId="0" borderId="3" xfId="0" applyFont="1" applyBorder="1"/>
    <xf numFmtId="3" fontId="10" fillId="0" borderId="0" xfId="0" applyNumberFormat="1" applyFont="1"/>
    <xf numFmtId="5" fontId="1" fillId="0" borderId="0" xfId="0" applyNumberFormat="1" applyFont="1" applyBorder="1" applyAlignment="1">
      <alignment horizontal="right"/>
    </xf>
    <xf numFmtId="165" fontId="0" fillId="0" borderId="4" xfId="0" applyNumberFormat="1" applyBorder="1"/>
    <xf numFmtId="3" fontId="4" fillId="0" borderId="4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>
      <alignment horizontal="right"/>
    </xf>
    <xf numFmtId="0" fontId="5" fillId="0" borderId="8" xfId="0" applyFont="1" applyBorder="1"/>
    <xf numFmtId="3" fontId="1" fillId="0" borderId="4" xfId="1" applyNumberFormat="1" applyFont="1" applyBorder="1" applyAlignment="1">
      <alignment horizontal="right"/>
    </xf>
    <xf numFmtId="4" fontId="10" fillId="0" borderId="0" xfId="0" applyNumberFormat="1" applyFont="1"/>
    <xf numFmtId="165" fontId="10" fillId="0" borderId="0" xfId="0" applyNumberFormat="1" applyFont="1"/>
    <xf numFmtId="6" fontId="0" fillId="0" borderId="0" xfId="0" quotePrefix="1" applyNumberFormat="1" applyBorder="1" applyAlignment="1">
      <alignment horizontal="right"/>
    </xf>
    <xf numFmtId="2" fontId="1" fillId="0" borderId="4" xfId="0" applyNumberFormat="1" applyFont="1" applyBorder="1"/>
    <xf numFmtId="166" fontId="0" fillId="0" borderId="4" xfId="0" applyNumberFormat="1" applyBorder="1"/>
    <xf numFmtId="9" fontId="4" fillId="0" borderId="0" xfId="0" applyNumberFormat="1" applyFont="1" applyBorder="1"/>
    <xf numFmtId="3" fontId="6" fillId="0" borderId="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/>
    <xf numFmtId="18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/>
    <xf numFmtId="3" fontId="10" fillId="0" borderId="4" xfId="1" applyNumberFormat="1" applyFont="1" applyBorder="1" applyAlignment="1">
      <alignment horizontal="right"/>
    </xf>
    <xf numFmtId="3" fontId="0" fillId="0" borderId="4" xfId="1" applyNumberFormat="1" applyFont="1" applyBorder="1"/>
    <xf numFmtId="2" fontId="4" fillId="0" borderId="4" xfId="0" applyNumberFormat="1" applyFont="1" applyFill="1" applyBorder="1"/>
    <xf numFmtId="0" fontId="4" fillId="0" borderId="10" xfId="0" applyFont="1" applyBorder="1"/>
    <xf numFmtId="3" fontId="5" fillId="0" borderId="8" xfId="0" applyNumberFormat="1" applyFont="1" applyFill="1" applyBorder="1"/>
    <xf numFmtId="3" fontId="5" fillId="0" borderId="10" xfId="0" applyNumberFormat="1" applyFont="1" applyFill="1" applyBorder="1"/>
    <xf numFmtId="3" fontId="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/>
    <xf numFmtId="0" fontId="0" fillId="0" borderId="8" xfId="0" applyBorder="1"/>
    <xf numFmtId="0" fontId="0" fillId="0" borderId="10" xfId="0" applyBorder="1"/>
    <xf numFmtId="3" fontId="0" fillId="0" borderId="11" xfId="1" applyNumberFormat="1" applyFont="1" applyBorder="1"/>
    <xf numFmtId="0" fontId="1" fillId="0" borderId="6" xfId="0" applyFont="1" applyBorder="1"/>
    <xf numFmtId="0" fontId="4" fillId="0" borderId="6" xfId="0" applyFont="1" applyBorder="1"/>
    <xf numFmtId="0" fontId="13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2" fontId="14" fillId="0" borderId="0" xfId="0" applyNumberFormat="1" applyFont="1" applyFill="1" applyBorder="1"/>
    <xf numFmtId="2" fontId="14" fillId="0" borderId="0" xfId="0" applyNumberFormat="1" applyFont="1" applyBorder="1"/>
    <xf numFmtId="0" fontId="0" fillId="2" borderId="12" xfId="0" applyFill="1" applyBorder="1" applyAlignment="1">
      <alignment horizontal="right"/>
    </xf>
    <xf numFmtId="0" fontId="0" fillId="2" borderId="12" xfId="0" applyFill="1" applyBorder="1"/>
    <xf numFmtId="4" fontId="4" fillId="2" borderId="12" xfId="1" applyFont="1" applyFill="1" applyBorder="1" applyAlignment="1">
      <alignment horizontal="right"/>
    </xf>
    <xf numFmtId="164" fontId="0" fillId="2" borderId="12" xfId="0" applyNumberFormat="1" applyFill="1" applyBorder="1"/>
    <xf numFmtId="165" fontId="0" fillId="2" borderId="12" xfId="0" applyNumberFormat="1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4" fontId="0" fillId="2" borderId="12" xfId="0" applyNumberFormat="1" applyFill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10" fillId="2" borderId="12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right"/>
    </xf>
    <xf numFmtId="3" fontId="10" fillId="2" borderId="12" xfId="0" applyNumberFormat="1" applyFont="1" applyFill="1" applyBorder="1" applyAlignment="1">
      <alignment horizontal="right"/>
    </xf>
    <xf numFmtId="3" fontId="10" fillId="2" borderId="13" xfId="0" applyNumberFormat="1" applyFont="1" applyFill="1" applyBorder="1" applyAlignment="1">
      <alignment horizontal="right"/>
    </xf>
    <xf numFmtId="3" fontId="4" fillId="2" borderId="12" xfId="1" applyNumberFormat="1" applyFont="1" applyFill="1" applyBorder="1" applyAlignment="1">
      <alignment horizontal="right"/>
    </xf>
    <xf numFmtId="3" fontId="4" fillId="2" borderId="12" xfId="0" applyNumberFormat="1" applyFont="1" applyFill="1" applyBorder="1"/>
    <xf numFmtId="3" fontId="4" fillId="2" borderId="13" xfId="0" applyNumberFormat="1" applyFont="1" applyFill="1" applyBorder="1"/>
    <xf numFmtId="9" fontId="4" fillId="2" borderId="12" xfId="3" applyFont="1" applyFill="1" applyBorder="1" applyAlignment="1">
      <alignment horizontal="right"/>
    </xf>
    <xf numFmtId="3" fontId="4" fillId="2" borderId="12" xfId="1" applyNumberFormat="1" applyFont="1" applyFill="1" applyBorder="1"/>
    <xf numFmtId="3" fontId="4" fillId="2" borderId="13" xfId="1" applyNumberFormat="1" applyFont="1" applyFill="1" applyBorder="1"/>
    <xf numFmtId="4" fontId="0" fillId="2" borderId="12" xfId="0" applyNumberFormat="1" applyFill="1" applyBorder="1" applyAlignment="1">
      <alignment horizontal="right"/>
    </xf>
    <xf numFmtId="0" fontId="0" fillId="0" borderId="0" xfId="0" applyFont="1" applyBorder="1"/>
    <xf numFmtId="2" fontId="8" fillId="0" borderId="0" xfId="0" applyNumberFormat="1" applyFont="1" applyBorder="1"/>
    <xf numFmtId="6" fontId="0" fillId="0" borderId="4" xfId="2" applyNumberFormat="1" applyFont="1" applyBorder="1" applyAlignment="1">
      <alignment horizontal="right"/>
    </xf>
    <xf numFmtId="3" fontId="0" fillId="0" borderId="0" xfId="0" applyNumberFormat="1" applyFont="1" applyBorder="1"/>
    <xf numFmtId="1" fontId="0" fillId="2" borderId="12" xfId="0" applyNumberFormat="1" applyFont="1" applyFill="1" applyBorder="1" applyAlignment="1">
      <alignment horizontal="right"/>
    </xf>
    <xf numFmtId="3" fontId="0" fillId="3" borderId="12" xfId="0" applyNumberFormat="1" applyFill="1" applyBorder="1"/>
    <xf numFmtId="2" fontId="17" fillId="0" borderId="14" xfId="0" applyNumberFormat="1" applyFont="1" applyBorder="1"/>
    <xf numFmtId="3" fontId="0" fillId="0" borderId="15" xfId="0" applyNumberFormat="1" applyBorder="1"/>
    <xf numFmtId="0" fontId="0" fillId="0" borderId="15" xfId="0" applyBorder="1"/>
    <xf numFmtId="0" fontId="0" fillId="0" borderId="16" xfId="0" applyBorder="1"/>
    <xf numFmtId="3" fontId="1" fillId="0" borderId="16" xfId="0" applyNumberFormat="1" applyFont="1" applyBorder="1"/>
    <xf numFmtId="4" fontId="0" fillId="0" borderId="0" xfId="1" applyFont="1"/>
    <xf numFmtId="167" fontId="0" fillId="0" borderId="0" xfId="1" applyNumberFormat="1" applyFont="1"/>
    <xf numFmtId="166" fontId="0" fillId="0" borderId="0" xfId="1" applyNumberFormat="1" applyFont="1"/>
    <xf numFmtId="0" fontId="0" fillId="0" borderId="0" xfId="0" applyFont="1" applyFill="1" applyBorder="1"/>
    <xf numFmtId="0" fontId="0" fillId="0" borderId="14" xfId="0" applyBorder="1"/>
    <xf numFmtId="0" fontId="1" fillId="0" borderId="17" xfId="0" applyFont="1" applyBorder="1"/>
    <xf numFmtId="4" fontId="4" fillId="2" borderId="12" xfId="1" applyNumberFormat="1" applyFont="1" applyFill="1" applyBorder="1"/>
    <xf numFmtId="166" fontId="4" fillId="2" borderId="12" xfId="1" applyNumberFormat="1" applyFont="1" applyFill="1" applyBorder="1"/>
    <xf numFmtId="167" fontId="4" fillId="2" borderId="12" xfId="1" applyNumberFormat="1" applyFont="1" applyFill="1" applyBorder="1"/>
    <xf numFmtId="0" fontId="0" fillId="0" borderId="0" xfId="0" applyFont="1" applyBorder="1" applyAlignment="1">
      <alignment horizontal="right"/>
    </xf>
    <xf numFmtId="3" fontId="0" fillId="0" borderId="0" xfId="0" applyNumberFormat="1" applyFont="1" applyFill="1" applyBorder="1"/>
    <xf numFmtId="0" fontId="0" fillId="2" borderId="12" xfId="0" applyFill="1" applyBorder="1" applyAlignment="1" applyProtection="1">
      <alignment horizontal="right"/>
      <protection locked="0"/>
    </xf>
    <xf numFmtId="166" fontId="0" fillId="2" borderId="12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2" borderId="22" xfId="0" applyFill="1" applyBorder="1" applyAlignment="1" applyProtection="1">
      <alignment horizontal="right"/>
      <protection locked="0"/>
    </xf>
    <xf numFmtId="0" fontId="9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right"/>
    </xf>
    <xf numFmtId="4" fontId="0" fillId="0" borderId="15" xfId="1" applyFont="1" applyBorder="1"/>
    <xf numFmtId="3" fontId="0" fillId="0" borderId="15" xfId="1" applyNumberFormat="1" applyFont="1" applyBorder="1"/>
    <xf numFmtId="0" fontId="0" fillId="0" borderId="23" xfId="0" applyBorder="1" applyAlignment="1">
      <alignment horizontal="right"/>
    </xf>
    <xf numFmtId="4" fontId="0" fillId="0" borderId="23" xfId="1" applyFont="1" applyBorder="1" applyAlignment="1">
      <alignment horizontal="right"/>
    </xf>
    <xf numFmtId="2" fontId="0" fillId="0" borderId="23" xfId="0" applyNumberFormat="1" applyBorder="1"/>
    <xf numFmtId="2" fontId="16" fillId="0" borderId="15" xfId="0" applyNumberFormat="1" applyFont="1" applyFill="1" applyBorder="1"/>
    <xf numFmtId="3" fontId="4" fillId="0" borderId="23" xfId="1" applyNumberFormat="1" applyFont="1" applyBorder="1"/>
    <xf numFmtId="2" fontId="1" fillId="0" borderId="23" xfId="0" applyNumberFormat="1" applyFont="1" applyBorder="1"/>
    <xf numFmtId="166" fontId="0" fillId="0" borderId="23" xfId="0" applyNumberFormat="1" applyBorder="1"/>
    <xf numFmtId="165" fontId="0" fillId="0" borderId="23" xfId="0" applyNumberFormat="1" applyBorder="1"/>
    <xf numFmtId="3" fontId="0" fillId="0" borderId="23" xfId="0" applyNumberFormat="1" applyBorder="1"/>
    <xf numFmtId="3" fontId="0" fillId="0" borderId="23" xfId="1" applyNumberFormat="1" applyFont="1" applyBorder="1"/>
    <xf numFmtId="3" fontId="4" fillId="0" borderId="23" xfId="1" applyNumberFormat="1" applyFont="1" applyBorder="1" applyAlignment="1">
      <alignment horizontal="right"/>
    </xf>
    <xf numFmtId="3" fontId="0" fillId="0" borderId="24" xfId="1" applyNumberFormat="1" applyFont="1" applyBorder="1"/>
    <xf numFmtId="3" fontId="10" fillId="3" borderId="23" xfId="1" applyNumberFormat="1" applyFont="1" applyFill="1" applyBorder="1" applyAlignment="1">
      <alignment horizontal="right"/>
    </xf>
    <xf numFmtId="3" fontId="10" fillId="0" borderId="23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3" fontId="1" fillId="0" borderId="23" xfId="0" applyNumberFormat="1" applyFont="1" applyBorder="1"/>
    <xf numFmtId="3" fontId="5" fillId="0" borderId="12" xfId="0" applyNumberFormat="1" applyFont="1" applyBorder="1"/>
    <xf numFmtId="0" fontId="2" fillId="0" borderId="23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3" fontId="4" fillId="0" borderId="23" xfId="1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3" fontId="1" fillId="0" borderId="23" xfId="0" applyNumberFormat="1" applyFont="1" applyFill="1" applyBorder="1"/>
    <xf numFmtId="3" fontId="5" fillId="0" borderId="24" xfId="0" applyNumberFormat="1" applyFont="1" applyFill="1" applyBorder="1"/>
    <xf numFmtId="2" fontId="4" fillId="0" borderId="23" xfId="0" applyNumberFormat="1" applyFont="1" applyFill="1" applyBorder="1"/>
    <xf numFmtId="6" fontId="0" fillId="0" borderId="23" xfId="2" applyNumberFormat="1" applyFont="1" applyBorder="1" applyAlignment="1">
      <alignment horizontal="right"/>
    </xf>
    <xf numFmtId="168" fontId="0" fillId="0" borderId="23" xfId="3" applyNumberFormat="1" applyFont="1" applyBorder="1"/>
    <xf numFmtId="4" fontId="0" fillId="0" borderId="23" xfId="1" applyFont="1" applyBorder="1"/>
    <xf numFmtId="0" fontId="0" fillId="0" borderId="23" xfId="0" applyBorder="1"/>
    <xf numFmtId="2" fontId="16" fillId="0" borderId="23" xfId="0" applyNumberFormat="1" applyFont="1" applyFill="1" applyBorder="1"/>
    <xf numFmtId="0" fontId="15" fillId="0" borderId="5" xfId="0" applyFont="1" applyBorder="1" applyAlignment="1">
      <alignment horizontal="left"/>
    </xf>
    <xf numFmtId="0" fontId="12" fillId="0" borderId="3" xfId="0" applyFont="1" applyBorder="1"/>
    <xf numFmtId="0" fontId="9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0" fillId="2" borderId="27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166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>
      <alignment horizontal="right"/>
    </xf>
    <xf numFmtId="4" fontId="4" fillId="2" borderId="13" xfId="1" applyNumberFormat="1" applyFont="1" applyFill="1" applyBorder="1"/>
    <xf numFmtId="166" fontId="4" fillId="2" borderId="13" xfId="1" applyNumberFormat="1" applyFont="1" applyFill="1" applyBorder="1"/>
    <xf numFmtId="167" fontId="4" fillId="2" borderId="13" xfId="1" applyNumberFormat="1" applyFont="1" applyFill="1" applyBorder="1"/>
    <xf numFmtId="4" fontId="0" fillId="0" borderId="4" xfId="1" applyFont="1" applyBorder="1"/>
    <xf numFmtId="0" fontId="0" fillId="0" borderId="4" xfId="0" applyBorder="1"/>
    <xf numFmtId="0" fontId="0" fillId="2" borderId="13" xfId="0" applyFill="1" applyBorder="1"/>
    <xf numFmtId="3" fontId="4" fillId="2" borderId="13" xfId="1" applyNumberFormat="1" applyFont="1" applyFill="1" applyBorder="1" applyAlignment="1">
      <alignment horizontal="right"/>
    </xf>
    <xf numFmtId="4" fontId="0" fillId="0" borderId="4" xfId="1" applyFont="1" applyBorder="1" applyAlignment="1">
      <alignment horizontal="right"/>
    </xf>
    <xf numFmtId="4" fontId="0" fillId="2" borderId="13" xfId="0" applyNumberFormat="1" applyFill="1" applyBorder="1" applyAlignment="1">
      <alignment horizontal="right"/>
    </xf>
    <xf numFmtId="2" fontId="16" fillId="0" borderId="4" xfId="0" applyNumberFormat="1" applyFont="1" applyFill="1" applyBorder="1"/>
    <xf numFmtId="1" fontId="0" fillId="2" borderId="13" xfId="0" applyNumberFormat="1" applyFont="1" applyFill="1" applyBorder="1" applyAlignment="1">
      <alignment horizontal="right"/>
    </xf>
    <xf numFmtId="4" fontId="4" fillId="2" borderId="13" xfId="1" applyFont="1" applyFill="1" applyBorder="1" applyAlignment="1">
      <alignment horizontal="right"/>
    </xf>
    <xf numFmtId="164" fontId="0" fillId="2" borderId="13" xfId="0" applyNumberFormat="1" applyFill="1" applyBorder="1"/>
    <xf numFmtId="165" fontId="0" fillId="2" borderId="13" xfId="0" applyNumberFormat="1" applyFill="1" applyBorder="1"/>
    <xf numFmtId="4" fontId="0" fillId="2" borderId="13" xfId="0" applyNumberFormat="1" applyFill="1" applyBorder="1"/>
    <xf numFmtId="0" fontId="4" fillId="2" borderId="13" xfId="0" applyFont="1" applyFill="1" applyBorder="1"/>
    <xf numFmtId="0" fontId="5" fillId="0" borderId="5" xfId="0" applyFont="1" applyBorder="1"/>
    <xf numFmtId="6" fontId="0" fillId="0" borderId="25" xfId="0" quotePrefix="1" applyNumberFormat="1" applyBorder="1" applyAlignment="1">
      <alignment horizontal="right"/>
    </xf>
    <xf numFmtId="6" fontId="0" fillId="0" borderId="7" xfId="0" quotePrefix="1" applyNumberFormat="1" applyBorder="1" applyAlignment="1">
      <alignment horizontal="right"/>
    </xf>
    <xf numFmtId="3" fontId="10" fillId="3" borderId="4" xfId="1" applyNumberFormat="1" applyFont="1" applyFill="1" applyBorder="1" applyAlignment="1">
      <alignment horizontal="right"/>
    </xf>
    <xf numFmtId="3" fontId="5" fillId="0" borderId="28" xfId="0" applyNumberFormat="1" applyFont="1" applyBorder="1"/>
    <xf numFmtId="3" fontId="0" fillId="3" borderId="13" xfId="0" applyNumberFormat="1" applyFill="1" applyBorder="1"/>
    <xf numFmtId="3" fontId="1" fillId="0" borderId="4" xfId="0" applyNumberFormat="1" applyFont="1" applyFill="1" applyBorder="1"/>
    <xf numFmtId="3" fontId="6" fillId="0" borderId="29" xfId="0" applyNumberFormat="1" applyFont="1" applyBorder="1"/>
    <xf numFmtId="3" fontId="5" fillId="0" borderId="9" xfId="0" applyNumberFormat="1" applyFont="1" applyBorder="1"/>
    <xf numFmtId="3" fontId="1" fillId="0" borderId="5" xfId="0" applyNumberFormat="1" applyFont="1" applyBorder="1"/>
    <xf numFmtId="3" fontId="4" fillId="0" borderId="6" xfId="0" applyNumberFormat="1" applyFont="1" applyBorder="1"/>
    <xf numFmtId="3" fontId="0" fillId="0" borderId="6" xfId="0" quotePrefix="1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2" fillId="0" borderId="25" xfId="0" applyNumberFormat="1" applyFont="1" applyBorder="1"/>
    <xf numFmtId="3" fontId="2" fillId="0" borderId="7" xfId="0" applyNumberFormat="1" applyFont="1" applyBorder="1"/>
    <xf numFmtId="168" fontId="0" fillId="0" borderId="4" xfId="3" applyNumberFormat="1" applyFont="1" applyBorder="1"/>
    <xf numFmtId="3" fontId="0" fillId="0" borderId="10" xfId="0" applyNumberFormat="1" applyBorder="1" applyAlignment="1">
      <alignment horizontal="right"/>
    </xf>
    <xf numFmtId="168" fontId="0" fillId="0" borderId="24" xfId="3" applyNumberFormat="1" applyFont="1" applyBorder="1"/>
    <xf numFmtId="168" fontId="0" fillId="0" borderId="11" xfId="3" applyNumberFormat="1" applyFont="1" applyBorder="1"/>
    <xf numFmtId="165" fontId="0" fillId="0" borderId="0" xfId="0" applyNumberFormat="1" applyFont="1"/>
    <xf numFmtId="3" fontId="1" fillId="0" borderId="12" xfId="1" applyNumberFormat="1" applyFont="1" applyBorder="1" applyAlignment="1">
      <alignment horizontal="center"/>
    </xf>
    <xf numFmtId="3" fontId="0" fillId="0" borderId="0" xfId="1" applyNumberFormat="1" applyFont="1" applyBorder="1"/>
    <xf numFmtId="0" fontId="0" fillId="0" borderId="14" xfId="0" applyFont="1" applyBorder="1"/>
    <xf numFmtId="0" fontId="1" fillId="0" borderId="2" xfId="0" applyFont="1" applyBorder="1"/>
    <xf numFmtId="0" fontId="1" fillId="0" borderId="19" xfId="0" applyFont="1" applyBorder="1" applyAlignment="1">
      <alignment horizontal="center"/>
    </xf>
    <xf numFmtId="0" fontId="1" fillId="0" borderId="15" xfId="0" applyFont="1" applyBorder="1"/>
    <xf numFmtId="0" fontId="0" fillId="2" borderId="20" xfId="0" applyFont="1" applyFill="1" applyBorder="1" applyAlignment="1">
      <alignment horizontal="center"/>
    </xf>
    <xf numFmtId="0" fontId="1" fillId="0" borderId="9" xfId="0" applyFont="1" applyBorder="1"/>
    <xf numFmtId="3" fontId="0" fillId="3" borderId="28" xfId="0" applyNumberFormat="1" applyFill="1" applyBorder="1"/>
    <xf numFmtId="166" fontId="0" fillId="2" borderId="12" xfId="0" applyNumberFormat="1" applyFill="1" applyBorder="1"/>
    <xf numFmtId="166" fontId="0" fillId="2" borderId="30" xfId="0" applyNumberFormat="1" applyFill="1" applyBorder="1"/>
    <xf numFmtId="0" fontId="0" fillId="2" borderId="28" xfId="0" applyFill="1" applyBorder="1" applyAlignment="1">
      <alignment horizontal="right"/>
    </xf>
    <xf numFmtId="0" fontId="7" fillId="2" borderId="31" xfId="0" applyFont="1" applyFill="1" applyBorder="1" applyAlignment="1">
      <alignment horizontal="right"/>
    </xf>
    <xf numFmtId="0" fontId="7" fillId="2" borderId="30" xfId="0" applyFont="1" applyFill="1" applyBorder="1" applyAlignment="1">
      <alignment horizontal="right"/>
    </xf>
    <xf numFmtId="3" fontId="4" fillId="3" borderId="23" xfId="1" applyNumberFormat="1" applyFont="1" applyFill="1" applyBorder="1"/>
    <xf numFmtId="3" fontId="4" fillId="3" borderId="32" xfId="1" applyNumberFormat="1" applyFont="1" applyFill="1" applyBorder="1"/>
    <xf numFmtId="1" fontId="4" fillId="3" borderId="22" xfId="0" applyNumberFormat="1" applyFont="1" applyFill="1" applyBorder="1"/>
    <xf numFmtId="1" fontId="4" fillId="3" borderId="27" xfId="0" applyNumberFormat="1" applyFont="1" applyFill="1" applyBorder="1"/>
    <xf numFmtId="0" fontId="0" fillId="0" borderId="6" xfId="0" applyBorder="1"/>
    <xf numFmtId="0" fontId="18" fillId="0" borderId="0" xfId="0" applyFont="1" applyAlignment="1">
      <alignment horizontal="left"/>
    </xf>
    <xf numFmtId="0" fontId="19" fillId="2" borderId="0" xfId="0" applyFont="1" applyFill="1" applyAlignment="1" applyProtection="1">
      <alignment horizontal="left"/>
      <protection locked="0"/>
    </xf>
    <xf numFmtId="0" fontId="18" fillId="2" borderId="0" xfId="0" applyFont="1" applyFill="1" applyProtection="1">
      <protection locked="0"/>
    </xf>
    <xf numFmtId="0" fontId="18" fillId="0" borderId="0" xfId="0" applyFont="1"/>
    <xf numFmtId="0" fontId="18" fillId="0" borderId="0" xfId="0" applyFont="1" applyAlignment="1">
      <alignment horizontal="right"/>
    </xf>
    <xf numFmtId="18" fontId="18" fillId="0" borderId="0" xfId="0" applyNumberFormat="1" applyFont="1"/>
    <xf numFmtId="15" fontId="18" fillId="0" borderId="0" xfId="0" applyNumberFormat="1" applyFont="1"/>
    <xf numFmtId="0" fontId="18" fillId="0" borderId="0" xfId="0" applyFont="1" applyProtection="1">
      <protection locked="0"/>
    </xf>
    <xf numFmtId="170" fontId="4" fillId="2" borderId="12" xfId="1" applyNumberFormat="1" applyFont="1" applyFill="1" applyBorder="1"/>
    <xf numFmtId="170" fontId="4" fillId="2" borderId="13" xfId="1" applyNumberFormat="1" applyFont="1" applyFill="1" applyBorder="1"/>
    <xf numFmtId="164" fontId="0" fillId="0" borderId="15" xfId="0" applyNumberFormat="1" applyBorder="1"/>
    <xf numFmtId="0" fontId="22" fillId="2" borderId="25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3" fillId="0" borderId="16" xfId="0" applyFont="1" applyBorder="1"/>
    <xf numFmtId="0" fontId="24" fillId="0" borderId="15" xfId="0" applyFont="1" applyBorder="1" applyAlignment="1">
      <alignment horizontal="center"/>
    </xf>
    <xf numFmtId="0" fontId="25" fillId="0" borderId="0" xfId="0" applyFont="1"/>
  </cellXfs>
  <cellStyles count="4">
    <cellStyle name="Comma" xfId="1" builtinId="3"/>
    <cellStyle name="Currency" xfId="2" builtinId="4"/>
    <cellStyle name="Normal" xfId="0" builtinId="0"/>
    <cellStyle name="Per cent" xfId="3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11</xdr:row>
          <xdr:rowOff>50800</xdr:rowOff>
        </xdr:from>
        <xdr:to>
          <xdr:col>18</xdr:col>
          <xdr:colOff>50800</xdr:colOff>
          <xdr:row>18</xdr:row>
          <xdr:rowOff>25400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76"/>
  <sheetViews>
    <sheetView tabSelected="1" zoomScaleSheetLayoutView="100" workbookViewId="0">
      <pane ySplit="15060" topLeftCell="A141"/>
      <selection activeCell="Q19" sqref="Q19"/>
      <selection pane="bottomLeft" activeCell="E143" sqref="E143"/>
    </sheetView>
  </sheetViews>
  <sheetFormatPr baseColWidth="10" defaultColWidth="12" defaultRowHeight="12"/>
  <cols>
    <col min="1" max="1" width="4.19921875" style="1" customWidth="1"/>
    <col min="2" max="2" width="37" style="2" customWidth="1"/>
    <col min="3" max="3" width="6.3984375" style="5" customWidth="1"/>
    <col min="4" max="4" width="8.796875" style="5" customWidth="1"/>
    <col min="5" max="5" width="11.3984375" style="5" customWidth="1"/>
    <col min="6" max="9" width="9.3984375" style="5" customWidth="1"/>
    <col min="10" max="11" width="4.59765625" customWidth="1"/>
    <col min="12" max="12" width="14" customWidth="1"/>
    <col min="13" max="13" width="12" style="151"/>
    <col min="14" max="14" width="10.796875" style="151" customWidth="1"/>
    <col min="17" max="29" width="5.3984375" customWidth="1"/>
    <col min="30" max="30" width="12" customWidth="1"/>
    <col min="31" max="31" width="6.59765625" customWidth="1"/>
    <col min="32" max="32" width="14" customWidth="1"/>
    <col min="33" max="37" width="5.3984375" customWidth="1"/>
    <col min="38" max="38" width="7" customWidth="1"/>
    <col min="39" max="39" width="7.3984375" customWidth="1"/>
    <col min="40" max="40" width="5.3984375" customWidth="1"/>
  </cols>
  <sheetData>
    <row r="1" spans="1:34" ht="20" customHeight="1">
      <c r="A1" s="213" t="s">
        <v>68</v>
      </c>
      <c r="B1" s="100"/>
      <c r="C1" s="54"/>
      <c r="D1" s="54"/>
      <c r="E1" s="101"/>
      <c r="F1" s="279" t="str">
        <f ca="1">MID(CELL("filename"),SEARCH("[",CELL("filename"))+1,SEARCH("]",CELL("filename"))-SEARCH("[",CELL("filename"))-1)</f>
        <v>SS1aHydro scheme data and cost estimates.xlsx</v>
      </c>
      <c r="G1" s="54"/>
      <c r="H1" s="54"/>
      <c r="I1" s="102"/>
    </row>
    <row r="2" spans="1:34" ht="16">
      <c r="A2" s="40"/>
      <c r="B2" s="15"/>
      <c r="C2" s="128" t="s">
        <v>67</v>
      </c>
      <c r="D2" s="13"/>
      <c r="E2" s="13"/>
      <c r="F2" s="13"/>
      <c r="G2" s="13"/>
      <c r="H2" s="13"/>
      <c r="I2" s="48"/>
      <c r="L2" s="280" t="s">
        <v>187</v>
      </c>
      <c r="M2" s="281" t="s">
        <v>188</v>
      </c>
      <c r="N2" s="282"/>
      <c r="O2" s="284" t="s">
        <v>189</v>
      </c>
      <c r="P2" s="285">
        <f ca="1">NOW()</f>
        <v>42355.78741261574</v>
      </c>
      <c r="Q2" s="283"/>
    </row>
    <row r="3" spans="1:34" ht="16">
      <c r="A3" s="40"/>
      <c r="B3" s="15"/>
      <c r="C3" s="13"/>
      <c r="D3" s="13"/>
      <c r="E3" s="13"/>
      <c r="F3" s="13"/>
      <c r="G3" s="13"/>
      <c r="H3" s="13"/>
      <c r="I3" s="48"/>
      <c r="L3" s="280" t="s">
        <v>190</v>
      </c>
      <c r="M3" s="281">
        <v>0</v>
      </c>
      <c r="N3" s="282"/>
      <c r="O3" s="284"/>
      <c r="P3" s="286">
        <f ca="1">NOW()</f>
        <v>42355.78741261574</v>
      </c>
      <c r="Q3" s="283"/>
      <c r="R3" s="87"/>
      <c r="S3" s="87"/>
    </row>
    <row r="4" spans="1:34" s="26" customFormat="1" ht="16">
      <c r="A4" s="214" t="s">
        <v>69</v>
      </c>
      <c r="B4" s="87"/>
      <c r="C4" s="175" t="s">
        <v>195</v>
      </c>
      <c r="D4" s="176"/>
      <c r="E4" s="177"/>
      <c r="F4" s="177"/>
      <c r="G4" s="177"/>
      <c r="H4" s="177"/>
      <c r="I4" s="215"/>
      <c r="J4" s="87"/>
      <c r="K4" s="87"/>
      <c r="L4" s="280" t="s">
        <v>191</v>
      </c>
      <c r="M4" s="281" t="s">
        <v>192</v>
      </c>
      <c r="N4" s="282"/>
      <c r="O4" s="287"/>
      <c r="P4" s="287"/>
      <c r="Q4" s="2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</row>
    <row r="5" spans="1:34">
      <c r="A5" s="40"/>
      <c r="B5" s="15" t="s">
        <v>11</v>
      </c>
      <c r="C5" s="13"/>
      <c r="D5" s="13"/>
      <c r="E5" s="81"/>
      <c r="F5" s="81"/>
      <c r="G5" s="81"/>
      <c r="H5" s="81"/>
      <c r="I5" s="55"/>
    </row>
    <row r="6" spans="1:34">
      <c r="A6" s="40"/>
      <c r="B6" s="25">
        <f ca="1">NOW()</f>
        <v>42355.78741261574</v>
      </c>
      <c r="C6" s="13"/>
      <c r="D6" s="13"/>
      <c r="E6" s="82"/>
      <c r="F6" s="82"/>
      <c r="G6" s="82"/>
      <c r="H6" s="82"/>
      <c r="I6" s="56"/>
    </row>
    <row r="7" spans="1:34" ht="13" thickBot="1">
      <c r="A7" s="84"/>
      <c r="B7" s="85">
        <f ca="1">NOW()</f>
        <v>42355.78741261574</v>
      </c>
      <c r="C7" s="86"/>
      <c r="D7" s="86"/>
      <c r="E7" s="216"/>
      <c r="F7" s="216"/>
      <c r="G7" s="216"/>
      <c r="H7" s="216"/>
      <c r="I7" s="217"/>
    </row>
    <row r="8" spans="1:34" s="82" customFormat="1" ht="15" customHeight="1">
      <c r="A8" s="47"/>
      <c r="B8" s="99" t="s">
        <v>16</v>
      </c>
      <c r="C8" s="218"/>
      <c r="D8" s="218"/>
      <c r="E8" s="219" t="s">
        <v>198</v>
      </c>
      <c r="F8" s="220" t="s">
        <v>197</v>
      </c>
      <c r="H8" s="291" t="s">
        <v>200</v>
      </c>
      <c r="I8" s="292"/>
    </row>
    <row r="9" spans="1:34" s="4" customFormat="1" ht="15" customHeight="1">
      <c r="A9" s="83"/>
      <c r="B9" s="82"/>
      <c r="C9" s="82" t="s">
        <v>29</v>
      </c>
      <c r="D9" s="82" t="s">
        <v>4</v>
      </c>
      <c r="E9" s="294" t="str">
        <f>kW&amp;"kW"</f>
        <v>2890kW</v>
      </c>
      <c r="F9" s="294" t="str">
        <f>kW&amp;"kW"</f>
        <v>3130kW</v>
      </c>
      <c r="G9" s="294" t="str">
        <f>kW&amp;"kW"</f>
        <v>1920kW</v>
      </c>
      <c r="H9" s="294" t="str">
        <f>kW&amp;"kW"</f>
        <v>21330kW</v>
      </c>
      <c r="I9" s="294" t="str">
        <f>kW&amp;"kW"</f>
        <v>21050kW</v>
      </c>
    </row>
    <row r="10" spans="1:34">
      <c r="A10" s="40" t="s">
        <v>5</v>
      </c>
      <c r="B10" s="15"/>
      <c r="C10" s="13"/>
      <c r="D10" s="13"/>
      <c r="E10" s="178"/>
      <c r="F10" s="178"/>
      <c r="G10" s="181"/>
      <c r="H10" s="181"/>
      <c r="I10" s="48"/>
      <c r="L10" s="143" t="s">
        <v>159</v>
      </c>
      <c r="M10" s="169"/>
      <c r="N10" s="170"/>
    </row>
    <row r="11" spans="1:34">
      <c r="A11" s="40"/>
      <c r="B11" s="15" t="s">
        <v>6</v>
      </c>
      <c r="C11" s="13" t="s">
        <v>7</v>
      </c>
      <c r="D11" s="13"/>
      <c r="E11" s="174">
        <v>22</v>
      </c>
      <c r="F11" s="174">
        <v>24</v>
      </c>
      <c r="G11" s="174">
        <v>0.8</v>
      </c>
      <c r="H11" s="174">
        <v>9</v>
      </c>
      <c r="I11" s="221">
        <v>9</v>
      </c>
      <c r="L11" s="136" t="s">
        <v>160</v>
      </c>
      <c r="M11" s="171" t="s">
        <v>161</v>
      </c>
      <c r="N11" s="155" t="s">
        <v>162</v>
      </c>
    </row>
    <row r="12" spans="1:34">
      <c r="A12" s="40"/>
      <c r="B12" s="127" t="s">
        <v>119</v>
      </c>
      <c r="C12" s="13"/>
      <c r="D12" s="13"/>
      <c r="E12" s="149">
        <v>9.5</v>
      </c>
      <c r="F12" s="149">
        <v>10</v>
      </c>
      <c r="G12" s="149">
        <v>0.48</v>
      </c>
      <c r="H12" s="149">
        <v>4</v>
      </c>
      <c r="I12" s="222">
        <v>5</v>
      </c>
      <c r="K12" t="s">
        <v>149</v>
      </c>
      <c r="L12" s="142" t="s">
        <v>158</v>
      </c>
      <c r="M12" s="172" t="s">
        <v>164</v>
      </c>
      <c r="N12" s="153">
        <v>0.4</v>
      </c>
    </row>
    <row r="13" spans="1:34">
      <c r="A13" s="40"/>
      <c r="B13" s="127" t="s">
        <v>156</v>
      </c>
      <c r="C13" s="13"/>
      <c r="D13" s="13"/>
      <c r="E13" s="149">
        <v>80.5</v>
      </c>
      <c r="F13" s="149">
        <v>80.5</v>
      </c>
      <c r="G13" s="149">
        <v>300</v>
      </c>
      <c r="H13" s="149">
        <v>300</v>
      </c>
      <c r="I13" s="222">
        <v>300</v>
      </c>
      <c r="L13" s="135" t="s">
        <v>163</v>
      </c>
      <c r="M13" s="173" t="s">
        <v>165</v>
      </c>
      <c r="N13" s="154">
        <v>0.6</v>
      </c>
    </row>
    <row r="14" spans="1:34">
      <c r="A14" s="40"/>
      <c r="B14" s="127" t="s">
        <v>157</v>
      </c>
      <c r="C14" s="13" t="s">
        <v>26</v>
      </c>
      <c r="D14" s="13"/>
      <c r="E14" s="149">
        <v>80</v>
      </c>
      <c r="F14" s="149">
        <v>80</v>
      </c>
      <c r="G14" s="149">
        <v>290</v>
      </c>
      <c r="H14" s="149">
        <v>290</v>
      </c>
      <c r="I14" s="222">
        <v>290</v>
      </c>
      <c r="L14" s="135" t="s">
        <v>166</v>
      </c>
      <c r="M14" s="173" t="s">
        <v>167</v>
      </c>
      <c r="N14" s="154">
        <v>0.8</v>
      </c>
    </row>
    <row r="15" spans="1:34">
      <c r="A15" s="40"/>
      <c r="B15" s="15" t="s">
        <v>71</v>
      </c>
      <c r="C15" s="13"/>
      <c r="D15" s="13"/>
      <c r="E15" s="150">
        <v>64</v>
      </c>
      <c r="F15" s="150">
        <v>64</v>
      </c>
      <c r="G15" s="150">
        <v>2</v>
      </c>
      <c r="H15" s="150">
        <v>2</v>
      </c>
      <c r="I15" s="223">
        <v>2</v>
      </c>
      <c r="L15" s="135" t="s">
        <v>168</v>
      </c>
      <c r="M15" s="173" t="s">
        <v>169</v>
      </c>
      <c r="N15" s="154">
        <v>1.2</v>
      </c>
    </row>
    <row r="16" spans="1:34">
      <c r="A16" s="40"/>
      <c r="B16" s="29" t="s">
        <v>70</v>
      </c>
      <c r="C16" s="13"/>
      <c r="D16" s="13"/>
      <c r="E16" s="150">
        <v>64.5</v>
      </c>
      <c r="F16" s="150">
        <v>64</v>
      </c>
      <c r="G16" s="150">
        <v>2.5</v>
      </c>
      <c r="H16" s="150">
        <v>2.5</v>
      </c>
      <c r="I16" s="223">
        <v>2.5</v>
      </c>
      <c r="L16" s="135" t="s">
        <v>170</v>
      </c>
      <c r="M16" s="173" t="s">
        <v>171</v>
      </c>
      <c r="N16" s="154">
        <v>1.5</v>
      </c>
    </row>
    <row r="17" spans="1:17">
      <c r="A17" s="40" t="s">
        <v>138</v>
      </c>
      <c r="B17" s="29"/>
      <c r="C17" s="13"/>
      <c r="D17" s="13"/>
      <c r="E17" s="178"/>
      <c r="F17" s="178"/>
      <c r="G17" s="181"/>
      <c r="H17" s="181"/>
      <c r="I17" s="48"/>
      <c r="L17" s="135" t="s">
        <v>125</v>
      </c>
      <c r="M17" s="173" t="s">
        <v>171</v>
      </c>
      <c r="N17" s="154">
        <v>2</v>
      </c>
    </row>
    <row r="18" spans="1:17">
      <c r="A18" s="40"/>
      <c r="B18" s="141" t="s">
        <v>140</v>
      </c>
      <c r="C18" s="13"/>
      <c r="D18" s="13"/>
      <c r="E18" s="105">
        <v>200</v>
      </c>
      <c r="F18" s="105">
        <v>200</v>
      </c>
      <c r="G18" s="105">
        <v>1200</v>
      </c>
      <c r="H18" s="105">
        <v>1200</v>
      </c>
      <c r="I18" s="224">
        <v>1200</v>
      </c>
      <c r="L18" s="135" t="s">
        <v>172</v>
      </c>
      <c r="M18" s="173" t="s">
        <v>173</v>
      </c>
      <c r="N18" s="154" t="s">
        <v>175</v>
      </c>
    </row>
    <row r="19" spans="1:17">
      <c r="A19" s="40"/>
      <c r="B19" s="19" t="s">
        <v>131</v>
      </c>
      <c r="C19" s="19" t="s">
        <v>26</v>
      </c>
      <c r="D19" s="13"/>
      <c r="E19" s="144">
        <v>4</v>
      </c>
      <c r="F19" s="144">
        <v>4</v>
      </c>
      <c r="G19" s="144">
        <v>0.55000000000000004</v>
      </c>
      <c r="H19" s="144">
        <v>1.54</v>
      </c>
      <c r="I19" s="225">
        <v>1.54</v>
      </c>
      <c r="L19" s="136"/>
      <c r="M19" s="171" t="s">
        <v>174</v>
      </c>
      <c r="N19" s="155"/>
      <c r="Q19" s="295" t="s">
        <v>201</v>
      </c>
    </row>
    <row r="20" spans="1:17">
      <c r="A20" s="40"/>
      <c r="B20" s="19" t="s">
        <v>130</v>
      </c>
      <c r="C20" s="19" t="s">
        <v>26</v>
      </c>
      <c r="D20" s="13"/>
      <c r="E20" s="145">
        <v>8</v>
      </c>
      <c r="F20" s="145">
        <v>8</v>
      </c>
      <c r="G20" s="145">
        <v>0.9</v>
      </c>
      <c r="H20" s="145">
        <v>1.52</v>
      </c>
      <c r="I20" s="226">
        <v>1.52</v>
      </c>
    </row>
    <row r="21" spans="1:17">
      <c r="A21" s="40"/>
      <c r="B21" s="19" t="s">
        <v>132</v>
      </c>
      <c r="C21" s="19" t="s">
        <v>133</v>
      </c>
      <c r="D21" s="13"/>
      <c r="E21" s="110">
        <v>45</v>
      </c>
      <c r="F21" s="110">
        <v>45</v>
      </c>
      <c r="G21" s="110">
        <v>30</v>
      </c>
      <c r="H21" s="110">
        <v>30</v>
      </c>
      <c r="I21" s="111">
        <v>30</v>
      </c>
      <c r="L21" s="143" t="s">
        <v>134</v>
      </c>
      <c r="M21" s="152" t="s">
        <v>148</v>
      </c>
    </row>
    <row r="22" spans="1:17">
      <c r="A22" s="40"/>
      <c r="B22" s="19" t="s">
        <v>134</v>
      </c>
      <c r="C22" s="19"/>
      <c r="D22" s="13"/>
      <c r="E22" s="146">
        <v>2.5000000000000001E-2</v>
      </c>
      <c r="F22" s="146">
        <v>2.5000000000000001E-2</v>
      </c>
      <c r="G22" s="146">
        <v>0.02</v>
      </c>
      <c r="H22" s="146">
        <v>0.02</v>
      </c>
      <c r="I22" s="227">
        <v>0.02</v>
      </c>
      <c r="L22" s="142" t="s">
        <v>143</v>
      </c>
      <c r="M22" s="153">
        <v>0.02</v>
      </c>
    </row>
    <row r="23" spans="1:17">
      <c r="A23" s="40"/>
      <c r="B23" s="19" t="s">
        <v>135</v>
      </c>
      <c r="C23" s="19" t="s">
        <v>142</v>
      </c>
      <c r="D23" s="13"/>
      <c r="E23" s="288">
        <v>4.0000000000000003E-5</v>
      </c>
      <c r="F23" s="288">
        <v>5.0000000000000002E-5</v>
      </c>
      <c r="G23" s="288">
        <v>1E-3</v>
      </c>
      <c r="H23" s="288">
        <v>1E-3</v>
      </c>
      <c r="I23" s="289">
        <v>1E-3</v>
      </c>
      <c r="L23" s="135" t="s">
        <v>144</v>
      </c>
      <c r="M23" s="154">
        <v>1.4999999999999999E-2</v>
      </c>
    </row>
    <row r="24" spans="1:17">
      <c r="A24" s="40"/>
      <c r="B24" s="19" t="s">
        <v>136</v>
      </c>
      <c r="C24" s="19" t="s">
        <v>137</v>
      </c>
      <c r="D24" s="13"/>
      <c r="E24" s="179">
        <f>IF(     OR(E19="",E20="",E21="",E22="",E23=""),     "",     ( E20*39.37   +   E19*39.37 / TAN(RADIANS(E21)) )   *   E19*39.37   /   144     )/10.78</f>
        <v>47.928166357452071</v>
      </c>
      <c r="F24" s="179">
        <f>IF(     OR(F19="",F20="",F21="",F22="",F23=""),     "",     ( F20*39.37   +   F19*39.37 / TAN(RADIANS(F21)) )   *   F19*39.37   /   144     )/10.78</f>
        <v>47.928166357452071</v>
      </c>
      <c r="G24" s="210">
        <f>IF(     OR(G19="",G20="",G21="",G22="",G23=""),     "",     ( G20*39.37   +   G19*39.37 / TAN(RADIANS(G21)) )   *   G19*39.37   /   144     )/10.78</f>
        <v>1.0174204826763893</v>
      </c>
      <c r="H24" s="210">
        <f>IF(     OR(H19="",H20="",H21="",H22="",H23=""),     "",     ( H20*39.37   +   H19*39.37 / TAN(RADIANS(H21)) )   *   H19*39.37   /   144     )/10.78</f>
        <v>6.438881246881305</v>
      </c>
      <c r="I24" s="228">
        <f>IF(     OR(I19="",I20="",I21="",I22="",I23=""),     "",     ( I20*39.37   +   I19*39.37 / TAN(RADIANS(I21)) )   *   I19*39.37   /   144     )/10.78</f>
        <v>6.438881246881305</v>
      </c>
      <c r="L24" s="135" t="s">
        <v>145</v>
      </c>
      <c r="M24" s="154">
        <v>2.5000000000000001E-2</v>
      </c>
    </row>
    <row r="25" spans="1:17">
      <c r="A25" s="40"/>
      <c r="B25" s="19" t="s">
        <v>194</v>
      </c>
      <c r="C25" s="87" t="s">
        <v>26</v>
      </c>
      <c r="D25" s="13"/>
      <c r="E25" s="179">
        <f>IF(OR(E19="",E20="",E21="",E22="",E23=""),"",(E20*39.37*E19*39.37*SIN(RADIANS(E21))+(E19*39.37)^2*COS(RADIANS(E21)))/(E20*39.37*SIN(RADIANS(E21))+2*E19*39.37)/12)*0.3048</f>
        <v>2.4852764036758224</v>
      </c>
      <c r="F25" s="179">
        <f>IF(OR(F19="",F20="",F21="",F22="",F23=""),"",(F20*39.37*F19*39.37*SIN(RADIANS(F21))+(F19*39.37)^2*COS(RADIANS(F21)))/(F20*39.37*SIN(RADIANS(F21))+2*F19*39.37)/12)*0.3048</f>
        <v>2.4852764036758224</v>
      </c>
      <c r="G25" s="210">
        <f>IF(OR(G19="",G20="",G21="",G22="",G23=""),"",(G20*39.37*G19*39.37*SIN(RADIANS(G21))+(G19*39.37)^2*COS(RADIANS(G21)))/(G20*39.37*SIN(RADIANS(G21))+2*G19*39.37)/12)*0.3048</f>
        <v>0.3286913972254345</v>
      </c>
      <c r="H25" s="210">
        <f>IF(OR(H19="",H20="",H21="",H22="",H23=""),"",(H20*39.37*H19*39.37*SIN(RADIANS(H21))+(H19*39.37)^2*COS(RADIANS(H21)))/(H20*39.37*SIN(RADIANS(H21))+2*H19*39.37)/12)*0.3048</f>
        <v>0.83965088517798969</v>
      </c>
      <c r="I25" s="228">
        <f>IF(OR(I19="",I20="",I21="",I22="",I23=""),"",(I20*39.37*I19*39.37*SIN(RADIANS(I21))+(I19*39.37)^2*COS(RADIANS(I21)))/(I20*39.37*SIN(RADIANS(I21))+2*I19*39.37)/12)*0.3048</f>
        <v>0.83965088517798969</v>
      </c>
      <c r="L25" s="135" t="s">
        <v>146</v>
      </c>
      <c r="M25" s="154">
        <v>0.03</v>
      </c>
    </row>
    <row r="26" spans="1:17">
      <c r="A26" s="40"/>
      <c r="B26" s="19" t="s">
        <v>193</v>
      </c>
      <c r="C26" s="87" t="s">
        <v>7</v>
      </c>
      <c r="D26" s="13"/>
      <c r="E26" s="179">
        <f>IF(     OR(E19="",E20="",E21="",E22="",E23=""),     "",     1.486   /   E22   *   E24*10.78   *   (E25/0.3048)^(2/3)   *   E23^0.5     )/35.3</f>
        <v>22.290346611628596</v>
      </c>
      <c r="F26" s="179">
        <f>IF(     OR(F19="",F20="",F21="",F22="",F23=""),     "",     1.486   /   F22   *   F24*10.78   *   (F25/0.3048)^(2/3)   *   F23^0.5     )/35.3</f>
        <v>24.921365132816824</v>
      </c>
      <c r="G26" s="210">
        <f>IF(     OR(G19="",G20="",G21="",G22="",G23=""),     "",     1.486   /   G22   *   G24*10.78   *   (G25/0.3048)^(2/3)   *   G23^0.5     )/35.3</f>
        <v>0.76768359910830797</v>
      </c>
      <c r="H26" s="210">
        <f>IF(     OR(H19="",H20="",H21="",H22="",H23=""),     "",     1.486   /   H22   *   H24*10.78   *   (H25/0.3048)^(2/3)   *   H23^0.5     )/35.3</f>
        <v>9.0788841903636204</v>
      </c>
      <c r="I26" s="228">
        <f>IF(     OR(I19="",I20="",I21="",I22="",I23=""),     "",     1.486   /   I22   *   I24*10.78   *   (I25/0.3048)^(2/3)   *   I23^0.5     )/35.3</f>
        <v>9.0788841903636204</v>
      </c>
      <c r="L26" s="136" t="s">
        <v>147</v>
      </c>
      <c r="M26" s="155">
        <v>3.5000000000000003E-2</v>
      </c>
    </row>
    <row r="27" spans="1:17">
      <c r="A27" s="40"/>
      <c r="B27" s="19" t="s">
        <v>141</v>
      </c>
      <c r="C27" s="19" t="s">
        <v>87</v>
      </c>
      <c r="D27" s="13"/>
      <c r="E27" s="179">
        <f>E11/E24</f>
        <v>0.45902027287925545</v>
      </c>
      <c r="F27" s="179">
        <f t="shared" ref="F27:I27" si="0">F11/F24</f>
        <v>0.5007493885955514</v>
      </c>
      <c r="G27" s="179">
        <f t="shared" si="0"/>
        <v>0.7863022355275856</v>
      </c>
      <c r="H27" s="179">
        <f t="shared" si="0"/>
        <v>1.3977583457311287</v>
      </c>
      <c r="I27" s="179">
        <f t="shared" si="0"/>
        <v>1.3977583457311287</v>
      </c>
    </row>
    <row r="28" spans="1:17">
      <c r="A28" s="40"/>
      <c r="B28" s="19" t="s">
        <v>150</v>
      </c>
      <c r="C28" s="19" t="s">
        <v>151</v>
      </c>
      <c r="D28" s="13"/>
      <c r="E28" s="180">
        <f>IF(E29&gt;0,E18*E24,"")</f>
        <v>9585.6332714904147</v>
      </c>
      <c r="F28" s="180">
        <f>IF(F29&gt;0,F18*F24,"")</f>
        <v>9585.6332714904147</v>
      </c>
      <c r="G28" s="190">
        <f>IF(G29&gt;0,G18*G24,"")</f>
        <v>1220.9045792116672</v>
      </c>
      <c r="H28" s="190">
        <f>IF(H29&gt;0,H18*H24,"")</f>
        <v>7726.657496257566</v>
      </c>
      <c r="I28" s="89">
        <f>IF(I29&gt;0,I18*I24,"")</f>
        <v>7726.657496257566</v>
      </c>
    </row>
    <row r="29" spans="1:17">
      <c r="A29" s="40"/>
      <c r="B29" s="19" t="s">
        <v>139</v>
      </c>
      <c r="C29" s="19" t="s">
        <v>26</v>
      </c>
      <c r="D29" s="13"/>
      <c r="E29" s="135">
        <f>IF(E18&gt;0,IF(AND(E26&lt;E11*1.05,E26&gt;E11*0.95),E18*E23, "flow?"),"")</f>
        <v>8.0000000000000002E-3</v>
      </c>
      <c r="F29" s="290">
        <f>IF(F18&gt;0,IF(AND(F26&lt;F11*1.05,F26&gt;F11*0.95),F18*F23, "flow?"),"")</f>
        <v>0.01</v>
      </c>
      <c r="G29" s="211">
        <f>IF(G18&gt;0,IF(AND(G26&lt;G11*1.05,G26&gt;G11*0.95),G18*G23, "flow?"),"")</f>
        <v>1.2</v>
      </c>
      <c r="H29" s="211">
        <f>IF(H18&gt;0,IF(AND(H26&lt;H11*1.05,H26&gt;H11*0.95),H18*H23, "flow?"),"")</f>
        <v>1.2</v>
      </c>
      <c r="I29" s="229">
        <f>IF(I18&gt;0,IF(AND(I26&lt;I11*1.05,I26&gt;I11*0.95),I18*I23, "flow?"),"")</f>
        <v>1.2</v>
      </c>
      <c r="K29" t="s">
        <v>149</v>
      </c>
    </row>
    <row r="30" spans="1:17">
      <c r="A30" s="40" t="s">
        <v>93</v>
      </c>
      <c r="B30" s="15"/>
      <c r="C30" s="13"/>
      <c r="D30" s="13"/>
      <c r="E30" s="181"/>
      <c r="F30" s="181"/>
      <c r="G30" s="181"/>
      <c r="H30" s="181"/>
      <c r="I30" s="48"/>
    </row>
    <row r="31" spans="1:17" ht="13">
      <c r="A31" s="40"/>
      <c r="B31" s="15" t="s">
        <v>84</v>
      </c>
      <c r="C31" s="13" t="s">
        <v>26</v>
      </c>
      <c r="D31" s="13"/>
      <c r="E31" s="106">
        <v>100</v>
      </c>
      <c r="F31" s="106">
        <v>100</v>
      </c>
      <c r="G31" s="106">
        <v>800</v>
      </c>
      <c r="H31" s="106">
        <v>800</v>
      </c>
      <c r="I31" s="230">
        <v>800</v>
      </c>
      <c r="L31" s="103"/>
    </row>
    <row r="32" spans="1:17" s="7" customFormat="1" ht="13">
      <c r="A32" s="40"/>
      <c r="B32" s="15" t="s">
        <v>94</v>
      </c>
      <c r="C32" s="13" t="s">
        <v>20</v>
      </c>
      <c r="D32" s="13"/>
      <c r="E32" s="106">
        <v>3500</v>
      </c>
      <c r="F32" s="106">
        <v>2500</v>
      </c>
      <c r="G32" s="106">
        <v>700</v>
      </c>
      <c r="H32" s="106">
        <v>1500</v>
      </c>
      <c r="I32" s="230">
        <v>1400</v>
      </c>
      <c r="J32" s="103"/>
      <c r="L32" s="103"/>
      <c r="M32" s="156"/>
      <c r="N32" s="157"/>
    </row>
    <row r="33" spans="1:40" s="7" customFormat="1" ht="13">
      <c r="A33" s="40"/>
      <c r="B33" s="29" t="s">
        <v>95</v>
      </c>
      <c r="C33" s="13"/>
      <c r="D33" s="13"/>
      <c r="E33" s="120">
        <v>20</v>
      </c>
      <c r="F33" s="120">
        <v>20</v>
      </c>
      <c r="G33" s="120">
        <v>100</v>
      </c>
      <c r="H33" s="120">
        <v>100</v>
      </c>
      <c r="I33" s="231">
        <v>100</v>
      </c>
      <c r="J33" s="103"/>
      <c r="L33" s="103"/>
      <c r="M33" s="156"/>
      <c r="N33" s="157"/>
      <c r="AF33" s="140"/>
    </row>
    <row r="34" spans="1:40" s="7" customFormat="1" ht="13">
      <c r="A34" s="40"/>
      <c r="B34" s="15" t="s">
        <v>85</v>
      </c>
      <c r="C34" s="13"/>
      <c r="D34" s="13"/>
      <c r="E34" s="105">
        <v>1</v>
      </c>
      <c r="F34" s="105">
        <v>2</v>
      </c>
      <c r="G34" s="105">
        <v>1</v>
      </c>
      <c r="H34" s="105">
        <v>1</v>
      </c>
      <c r="I34" s="224">
        <v>1</v>
      </c>
      <c r="J34" s="103"/>
      <c r="L34" s="103"/>
      <c r="M34" s="156"/>
      <c r="N34" s="157"/>
      <c r="AF34" s="140"/>
    </row>
    <row r="35" spans="1:40" s="7" customFormat="1" ht="13">
      <c r="A35" s="40"/>
      <c r="B35" s="15" t="s">
        <v>107</v>
      </c>
      <c r="C35" s="13" t="s">
        <v>86</v>
      </c>
      <c r="D35" s="13"/>
      <c r="E35" s="182">
        <f>1.3*E33*9.81*E32/2/0.6/17/1000</f>
        <v>43.760294117647057</v>
      </c>
      <c r="F35" s="182">
        <f>1.3*F33*9.81*F32/2/0.6/17/1000</f>
        <v>31.257352941176471</v>
      </c>
      <c r="G35" s="182">
        <f>1.3*G33*9.81*G32/2/0.6/17/1000</f>
        <v>43.760294117647057</v>
      </c>
      <c r="H35" s="182">
        <f>1.3*H33*9.81*H32/2/0.6/17/1000</f>
        <v>93.772058823529406</v>
      </c>
      <c r="I35" s="232">
        <f>1.3*I33*9.81*I32/2/0.6/17/1000</f>
        <v>87.520588235294113</v>
      </c>
      <c r="J35" s="103"/>
      <c r="L35" s="103"/>
      <c r="M35" s="156"/>
      <c r="N35" s="157"/>
    </row>
    <row r="36" spans="1:40" s="7" customFormat="1">
      <c r="A36" s="40"/>
      <c r="B36" s="15" t="s">
        <v>108</v>
      </c>
      <c r="C36" s="13" t="s">
        <v>20</v>
      </c>
      <c r="D36" s="13"/>
      <c r="E36" s="126">
        <v>20</v>
      </c>
      <c r="F36" s="126">
        <v>20</v>
      </c>
      <c r="G36" s="126">
        <v>25</v>
      </c>
      <c r="H36" s="126">
        <v>25</v>
      </c>
      <c r="I36" s="233">
        <v>25</v>
      </c>
      <c r="J36"/>
      <c r="K36" s="7" t="s">
        <v>185</v>
      </c>
      <c r="L36"/>
      <c r="M36" s="151"/>
      <c r="N36" s="157"/>
      <c r="AF36" s="139"/>
    </row>
    <row r="37" spans="1:40" s="7" customFormat="1">
      <c r="A37" s="40"/>
      <c r="B37" s="29" t="s">
        <v>62</v>
      </c>
      <c r="C37" s="13" t="s">
        <v>63</v>
      </c>
      <c r="D37" s="13"/>
      <c r="E37" s="182">
        <f>0.98*E31*E32*PI()*(E36+E35/1000)/1000/1000</f>
        <v>21.598480220977969</v>
      </c>
      <c r="F37" s="182">
        <f>F34*0.98*F31*F32*PI()*(F36+F35/1000)/1000/1000</f>
        <v>30.835724961661594</v>
      </c>
      <c r="G37" s="182">
        <f t="shared" ref="G37:I37" si="1">G34*0.98*G31*G32*PI()*(G36+G35/1000)/1000/1000</f>
        <v>43.17809859501515</v>
      </c>
      <c r="H37" s="182">
        <f t="shared" si="1"/>
        <v>92.709266102207621</v>
      </c>
      <c r="I37" s="182">
        <f t="shared" si="1"/>
        <v>86.507091965556683</v>
      </c>
      <c r="J37"/>
      <c r="L37"/>
      <c r="M37" s="151"/>
      <c r="N37" s="157"/>
      <c r="AF37" s="139"/>
    </row>
    <row r="38" spans="1:40" s="7" customFormat="1" ht="13">
      <c r="A38" s="40"/>
      <c r="B38" s="15" t="s">
        <v>89</v>
      </c>
      <c r="C38" s="13" t="s">
        <v>87</v>
      </c>
      <c r="D38" s="13"/>
      <c r="E38" s="183">
        <f>E$11/E34/(0.7854*(E32/1000-2*E36/1000)^2)</f>
        <v>2.3398045776498311</v>
      </c>
      <c r="F38" s="183">
        <f>F$11/F34/(0.7854*(F32/1000-2*F36/1000)^2)</f>
        <v>2.5247601970141078</v>
      </c>
      <c r="G38" s="183">
        <f t="shared" ref="G38:I38" si="2">G$11/G34/(0.7854*(G32/1000-2*G36/1000)^2)</f>
        <v>2.4108621393689278</v>
      </c>
      <c r="H38" s="183">
        <f t="shared" si="2"/>
        <v>5.4502397651310011</v>
      </c>
      <c r="I38" s="183">
        <f t="shared" si="2"/>
        <v>6.2875879869343931</v>
      </c>
      <c r="J38" s="104"/>
      <c r="L38" s="133" t="s">
        <v>121</v>
      </c>
      <c r="M38" s="158"/>
      <c r="N38" s="157"/>
      <c r="AF38" s="138"/>
    </row>
    <row r="39" spans="1:40" s="7" customFormat="1">
      <c r="A39" s="49"/>
      <c r="B39" s="16" t="s">
        <v>22</v>
      </c>
      <c r="C39" s="17"/>
      <c r="D39" s="17"/>
      <c r="E39" s="106">
        <v>140</v>
      </c>
      <c r="F39" s="106">
        <v>140</v>
      </c>
      <c r="G39" s="106">
        <v>140</v>
      </c>
      <c r="H39" s="106">
        <v>140</v>
      </c>
      <c r="I39" s="230">
        <v>140</v>
      </c>
      <c r="L39" s="137" t="s">
        <v>122</v>
      </c>
      <c r="M39" s="159"/>
      <c r="N39" s="157"/>
      <c r="AE39"/>
      <c r="AF39" s="138"/>
      <c r="AG39"/>
    </row>
    <row r="40" spans="1:40" s="7" customFormat="1" ht="13">
      <c r="A40" s="40"/>
      <c r="B40" s="18" t="s">
        <v>88</v>
      </c>
      <c r="C40" s="13" t="s">
        <v>26</v>
      </c>
      <c r="D40" s="13"/>
      <c r="E40" s="184">
        <f>(POWER(100/E39,1.852)*POWER(E11*15.852*1000,1.852)/POWER((E32-2*E36)*0.03937,4.8655)*0.2083 * 304.8 * 3.28)*E31/100/1000</f>
        <v>8.4824119590870134E-2</v>
      </c>
      <c r="F40" s="184">
        <f>(POWER(100/F39,1.852)*POWER(F$11/F34*15.852*1000,1.852)/POWER((F32-2*F36)*0.03937,4.8655)*0.2083 * 304.8 * 3.28)*F31/100/1000</f>
        <v>0.14513635723424395</v>
      </c>
      <c r="G40" s="212">
        <f>(POWER(100/G39,1.852)*POWER(G$11*15.852*1000,1.852)/POWER((G32-2*G36)*0.03937,4.8655)*0.2083 * 304.8 * 3.28)*G31/100/1000</f>
        <v>5.0016122572284294</v>
      </c>
      <c r="H40" s="212">
        <f>(POWER(100/H39,1.852)*POWER(H$11*15.852*1000,1.852)/POWER((H32-2*H36)*0.03937,4.8655)*0.2083 * 304.8 * 3.28)*H31/100/1000</f>
        <v>8.9215109752776094</v>
      </c>
      <c r="I40" s="234">
        <f>(POWER(100/I39,1.852)*POWER(I$11*15.852*1000,1.852)/POWER((I32-2*I36)*0.03937,4.8655)*0.2083 * 304.8 * 3.28)*I31/100/1000</f>
        <v>12.630934363902705</v>
      </c>
      <c r="L40" s="134" t="s">
        <v>123</v>
      </c>
      <c r="M40" s="160">
        <v>100</v>
      </c>
      <c r="N40" s="157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E40"/>
      <c r="AF40" s="138"/>
      <c r="AG40"/>
      <c r="AH40"/>
      <c r="AI40"/>
      <c r="AJ40"/>
    </row>
    <row r="41" spans="1:40">
      <c r="A41" s="40" t="s">
        <v>109</v>
      </c>
      <c r="B41" s="15"/>
      <c r="C41" s="13"/>
      <c r="D41" s="13"/>
      <c r="E41" s="181"/>
      <c r="F41" s="181"/>
      <c r="G41" s="181"/>
      <c r="H41" s="181"/>
      <c r="I41" s="48"/>
      <c r="L41" s="135" t="s">
        <v>124</v>
      </c>
      <c r="M41" s="154">
        <v>130</v>
      </c>
      <c r="AD41" s="7"/>
      <c r="AE41" s="7"/>
      <c r="AF41" s="138"/>
    </row>
    <row r="42" spans="1:40">
      <c r="A42" s="40"/>
      <c r="B42" s="15" t="s">
        <v>84</v>
      </c>
      <c r="C42" s="13" t="s">
        <v>26</v>
      </c>
      <c r="D42" s="13"/>
      <c r="E42" s="131">
        <v>70</v>
      </c>
      <c r="F42" s="131">
        <v>70</v>
      </c>
      <c r="G42" s="131">
        <v>1000</v>
      </c>
      <c r="H42" s="131">
        <v>1000</v>
      </c>
      <c r="I42" s="235">
        <v>1000</v>
      </c>
      <c r="L42" s="135" t="s">
        <v>125</v>
      </c>
      <c r="M42" s="161">
        <v>120</v>
      </c>
    </row>
    <row r="43" spans="1:40">
      <c r="A43" s="40"/>
      <c r="B43" s="29" t="s">
        <v>104</v>
      </c>
      <c r="C43" s="13" t="s">
        <v>105</v>
      </c>
      <c r="D43" s="13"/>
      <c r="E43" s="185">
        <f>1000*16*(kW/(E45*1000))^0.43/Hn^0.65</f>
        <v>4279.1922701877129</v>
      </c>
      <c r="F43" s="185">
        <f>1000*16*(kW/(F45*1000))^0.43/Hn^0.65</f>
        <v>3301.9356905878535</v>
      </c>
      <c r="G43" s="185">
        <f>1000*16*(kW/(G45*1000))^0.43/Hn^0.65</f>
        <v>543.33042477753054</v>
      </c>
      <c r="H43" s="185">
        <f>1000*16*(kW/(H45*1000))^0.43/Hn^0.65</f>
        <v>1542.4704213184709</v>
      </c>
      <c r="I43" s="185">
        <f>1000*16*(kW/(I45*1000))^0.43/Hn^0.65</f>
        <v>1547.2421845949427</v>
      </c>
      <c r="L43" s="135" t="s">
        <v>126</v>
      </c>
      <c r="M43" s="154">
        <v>150</v>
      </c>
    </row>
    <row r="44" spans="1:40">
      <c r="A44" s="40"/>
      <c r="B44" s="15" t="s">
        <v>106</v>
      </c>
      <c r="C44" s="13" t="s">
        <v>21</v>
      </c>
      <c r="D44" s="13"/>
      <c r="E44" s="120">
        <v>3500</v>
      </c>
      <c r="F44" s="120">
        <v>2500</v>
      </c>
      <c r="G44" s="120">
        <v>600</v>
      </c>
      <c r="H44" s="120">
        <v>1500</v>
      </c>
      <c r="I44" s="231">
        <v>1500</v>
      </c>
      <c r="L44" s="135" t="s">
        <v>127</v>
      </c>
      <c r="M44" s="154">
        <v>140</v>
      </c>
    </row>
    <row r="45" spans="1:40">
      <c r="A45" s="40"/>
      <c r="B45" s="15" t="s">
        <v>85</v>
      </c>
      <c r="C45" s="13"/>
      <c r="D45" s="13"/>
      <c r="E45" s="105">
        <v>1</v>
      </c>
      <c r="F45" s="105">
        <v>2</v>
      </c>
      <c r="G45" s="105">
        <v>1</v>
      </c>
      <c r="H45" s="105">
        <v>1</v>
      </c>
      <c r="I45" s="224">
        <v>1</v>
      </c>
      <c r="L45" s="135" t="s">
        <v>128</v>
      </c>
      <c r="M45" s="154">
        <v>140</v>
      </c>
    </row>
    <row r="46" spans="1:40">
      <c r="A46" s="40"/>
      <c r="B46" s="15" t="s">
        <v>81</v>
      </c>
      <c r="C46" s="13" t="s">
        <v>86</v>
      </c>
      <c r="D46" s="13"/>
      <c r="E46" s="107">
        <v>12</v>
      </c>
      <c r="F46" s="107">
        <v>10</v>
      </c>
      <c r="G46" s="107">
        <f>1.3*G$58*9.81*G44/2000/0.6/350</f>
        <v>5.4291342857142864</v>
      </c>
      <c r="H46" s="107">
        <f>1.3*H$58*9.81*H44/2000/0.6/350</f>
        <v>13.572835714285718</v>
      </c>
      <c r="I46" s="236">
        <f>1.3*I$58*9.81*I44/2000/0.6/350</f>
        <v>13.572835714285718</v>
      </c>
      <c r="L46" s="136" t="s">
        <v>129</v>
      </c>
      <c r="M46" s="155">
        <v>100</v>
      </c>
    </row>
    <row r="47" spans="1:40">
      <c r="A47" s="40"/>
      <c r="B47" s="15" t="s">
        <v>32</v>
      </c>
      <c r="C47" s="13"/>
      <c r="D47" s="13"/>
      <c r="E47" s="105">
        <v>12</v>
      </c>
      <c r="F47" s="105">
        <v>10</v>
      </c>
      <c r="G47" s="105">
        <v>6.5</v>
      </c>
      <c r="H47" s="105">
        <v>6.5</v>
      </c>
      <c r="I47" s="224">
        <v>6.5</v>
      </c>
      <c r="K47" t="s">
        <v>186</v>
      </c>
    </row>
    <row r="48" spans="1:40">
      <c r="A48" s="40"/>
      <c r="B48" s="29" t="s">
        <v>62</v>
      </c>
      <c r="C48" s="13" t="s">
        <v>63</v>
      </c>
      <c r="D48" s="13"/>
      <c r="E48" s="107">
        <f>E45*(8.5*E42*E44*PI()*E47/1000)/1000</f>
        <v>78.508400413208932</v>
      </c>
      <c r="F48" s="107">
        <f>F45*(8.5*F42*F44*PI()*F47/1000)/1000</f>
        <v>93.462381444296369</v>
      </c>
      <c r="G48" s="107">
        <f>G45*(8.5*G42*G44*PI()*G47/1000)/1000</f>
        <v>104.14379646650163</v>
      </c>
      <c r="H48" s="107">
        <f t="shared" ref="H48:I48" si="3">H45*(8.5*H42*H44*PI()*H47/1000)/1000</f>
        <v>260.35949116625409</v>
      </c>
      <c r="I48" s="107">
        <f t="shared" si="3"/>
        <v>260.35949116625409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:40">
      <c r="A49" s="40"/>
      <c r="B49" s="15" t="s">
        <v>89</v>
      </c>
      <c r="C49" s="13" t="s">
        <v>87</v>
      </c>
      <c r="D49" s="13"/>
      <c r="E49" s="183">
        <f>(E$11/E45)/(0.7854*(E44/1000-2*E47/1000)^2)</f>
        <v>2.318313949094359</v>
      </c>
      <c r="F49" s="183">
        <f t="shared" ref="F49:I49" si="4">(F$11/F45)/(0.7854*(F44/1000-2*F47/1000)^2)</f>
        <v>2.4842024597181602</v>
      </c>
      <c r="G49" s="183">
        <f t="shared" si="4"/>
        <v>2.9561256348753706</v>
      </c>
      <c r="H49" s="183">
        <f t="shared" si="4"/>
        <v>5.1823850217635687</v>
      </c>
      <c r="I49" s="183">
        <f t="shared" si="4"/>
        <v>5.1823850217635687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140"/>
      <c r="AG49" s="7"/>
      <c r="AH49" s="7"/>
      <c r="AI49" s="7"/>
      <c r="AJ49" s="7"/>
      <c r="AK49" s="7"/>
      <c r="AL49" s="7"/>
      <c r="AM49" s="7"/>
      <c r="AN49" s="7"/>
    </row>
    <row r="50" spans="1:40">
      <c r="A50" s="49"/>
      <c r="B50" s="16" t="str">
        <f>B39</f>
        <v>Hazen Williams C</v>
      </c>
      <c r="C50" s="17"/>
      <c r="D50" s="17"/>
      <c r="E50" s="108">
        <v>130</v>
      </c>
      <c r="F50" s="108">
        <v>130</v>
      </c>
      <c r="G50" s="108">
        <v>130</v>
      </c>
      <c r="H50" s="108">
        <v>130</v>
      </c>
      <c r="I50" s="237">
        <v>130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140"/>
      <c r="AG50" s="7"/>
      <c r="AH50" s="7"/>
      <c r="AI50" s="7"/>
      <c r="AJ50" s="7"/>
      <c r="AK50" s="7"/>
      <c r="AL50" s="7"/>
      <c r="AM50" s="7"/>
      <c r="AN50" s="7"/>
    </row>
    <row r="51" spans="1:40" ht="13">
      <c r="A51" s="40"/>
      <c r="B51" s="18" t="s">
        <v>88</v>
      </c>
      <c r="C51" s="13" t="s">
        <v>26</v>
      </c>
      <c r="D51" s="13"/>
      <c r="E51" s="184">
        <f>(POWER(100/E50,1.852)*POWER(E$11*15.852*1000,1.852)/POWER((E44-2*E47)*0.03937,4.8655)*0.2083 * 304.8 * 3.28)*E42/100/1000+P5+F5</f>
        <v>6.6600054241399115E-2</v>
      </c>
      <c r="F51" s="184">
        <f>(POWER(100/F50,1.852)*POWER(F$11/F45*15.852*1000,1.852)/POWER((F44-2*F47)*0.03937,4.8655)*0.2083 * 304.8 * 3.28)*F42/100/1000</f>
        <v>0.11203930411686314</v>
      </c>
      <c r="G51" s="212">
        <f>(POWER(100/G50,1.852)*POWER(G$11*15.852*1000,1.852)/POWER((G44-2*G47)*0.03937,4.8655)*0.2083 * 304.8 * 3.28)*G42/100/1000</f>
        <v>11.777342969525119</v>
      </c>
      <c r="H51" s="212">
        <f>(POWER(100/H50,1.852)*POWER(H$11*15.852*1000,1.852)/POWER((H44-2*H47)*0.03937,4.8655)*0.2083 * 304.8 * 3.28)*H42/100/1000</f>
        <v>11.31648255401287</v>
      </c>
      <c r="I51" s="234">
        <f>(POWER(100/I50,1.852)*POWER(I$11*15.852*1000,1.852)/POWER((I44-2*I47)*0.03937,4.8655)*0.2083 * 304.8 * 3.28)*I42/100/1000</f>
        <v>11.31648255401287</v>
      </c>
      <c r="L51" s="103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>
      <c r="A52" s="40"/>
      <c r="B52" s="21" t="s">
        <v>82</v>
      </c>
      <c r="C52" s="13" t="s">
        <v>26</v>
      </c>
      <c r="D52" s="13"/>
      <c r="E52" s="186">
        <f>+E51+E40</f>
        <v>0.15142417383226925</v>
      </c>
      <c r="F52" s="186">
        <f>+F51+F40</f>
        <v>0.25717566135110709</v>
      </c>
      <c r="G52" s="186">
        <f>+G51+G40</f>
        <v>16.778955226753549</v>
      </c>
      <c r="H52" s="186">
        <f>+H51+H40</f>
        <v>20.237993529290478</v>
      </c>
      <c r="I52" s="77">
        <f>+I51+I40</f>
        <v>23.947416917915575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139"/>
      <c r="AG52" s="7"/>
      <c r="AH52" s="7"/>
      <c r="AI52" s="7"/>
      <c r="AJ52" s="7"/>
      <c r="AK52" s="7"/>
      <c r="AL52" s="7"/>
      <c r="AM52" s="7"/>
      <c r="AN52" s="7"/>
    </row>
    <row r="53" spans="1:40">
      <c r="A53" s="40" t="s">
        <v>12</v>
      </c>
      <c r="B53" s="15"/>
      <c r="C53" s="13"/>
      <c r="D53" s="13"/>
      <c r="E53" s="181"/>
      <c r="F53" s="181"/>
      <c r="G53" s="181"/>
      <c r="H53" s="181"/>
      <c r="I53" s="48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139"/>
      <c r="AG53" s="7"/>
      <c r="AH53" s="7"/>
      <c r="AI53" s="7"/>
      <c r="AJ53" s="7"/>
      <c r="AK53" s="7"/>
      <c r="AL53" s="7"/>
      <c r="AM53" s="7"/>
      <c r="AN53" s="7"/>
    </row>
    <row r="54" spans="1:40">
      <c r="A54" s="40"/>
      <c r="B54" s="10" t="s">
        <v>102</v>
      </c>
      <c r="C54" s="9" t="s">
        <v>26</v>
      </c>
      <c r="D54" s="9"/>
      <c r="E54" s="187">
        <f>E15</f>
        <v>64</v>
      </c>
      <c r="F54" s="187">
        <f>F15</f>
        <v>64</v>
      </c>
      <c r="G54" s="187">
        <f>G15</f>
        <v>2</v>
      </c>
      <c r="H54" s="187">
        <f>H15</f>
        <v>2</v>
      </c>
      <c r="I54" s="78">
        <f>I15</f>
        <v>2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138"/>
      <c r="AG54" s="7"/>
      <c r="AH54" s="7"/>
      <c r="AI54" s="7"/>
      <c r="AJ54" s="7"/>
      <c r="AK54" s="7"/>
      <c r="AL54" s="7"/>
      <c r="AM54" s="7"/>
      <c r="AN54" s="7"/>
    </row>
    <row r="55" spans="1:40">
      <c r="A55" s="39"/>
      <c r="B55" s="10" t="s">
        <v>101</v>
      </c>
      <c r="C55" s="9" t="s">
        <v>26</v>
      </c>
      <c r="D55" s="9"/>
      <c r="E55" s="270">
        <v>64</v>
      </c>
      <c r="F55" s="270">
        <v>64</v>
      </c>
      <c r="G55" s="270">
        <v>0</v>
      </c>
      <c r="H55" s="270">
        <v>0</v>
      </c>
      <c r="I55" s="271">
        <v>0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F55" s="138"/>
      <c r="AH55" s="7"/>
      <c r="AI55" s="7"/>
      <c r="AJ55" s="7"/>
      <c r="AK55" s="7"/>
      <c r="AL55" s="7"/>
      <c r="AM55" s="7"/>
      <c r="AN55" s="7"/>
    </row>
    <row r="56" spans="1:40">
      <c r="A56" s="39"/>
      <c r="B56" s="10" t="s">
        <v>90</v>
      </c>
      <c r="C56" s="9" t="s">
        <v>26</v>
      </c>
      <c r="D56" s="9"/>
      <c r="E56" s="109">
        <v>65</v>
      </c>
      <c r="F56" s="109">
        <v>65</v>
      </c>
      <c r="G56" s="109">
        <v>1.5</v>
      </c>
      <c r="H56" s="109">
        <v>1.5</v>
      </c>
      <c r="I56" s="238">
        <v>1.5</v>
      </c>
      <c r="AD56" s="7"/>
      <c r="AF56" s="138"/>
      <c r="AK56" s="7"/>
      <c r="AL56" s="7"/>
      <c r="AM56" s="7"/>
      <c r="AN56" s="7"/>
    </row>
    <row r="57" spans="1:40">
      <c r="A57" s="39"/>
      <c r="B57" s="10" t="s">
        <v>6</v>
      </c>
      <c r="C57" s="9" t="s">
        <v>7</v>
      </c>
      <c r="D57" s="9"/>
      <c r="E57" s="188">
        <f>E11</f>
        <v>22</v>
      </c>
      <c r="F57" s="188">
        <f>F11</f>
        <v>24</v>
      </c>
      <c r="G57" s="188">
        <f>G11</f>
        <v>0.8</v>
      </c>
      <c r="H57" s="188">
        <f>H11</f>
        <v>9</v>
      </c>
      <c r="I57" s="68">
        <f>I11</f>
        <v>9</v>
      </c>
      <c r="AD57" s="7"/>
      <c r="AE57" s="7"/>
      <c r="AF57" s="138"/>
    </row>
    <row r="58" spans="1:40">
      <c r="A58" s="39"/>
      <c r="B58" s="10" t="s">
        <v>91</v>
      </c>
      <c r="C58" s="9" t="s">
        <v>26</v>
      </c>
      <c r="D58" s="9"/>
      <c r="E58" s="188">
        <f>IF(E63="P",E13-E54,E13-E55)</f>
        <v>16.5</v>
      </c>
      <c r="F58" s="188">
        <f>IF(F63="P",F13-F54,F13-F55)</f>
        <v>16.5</v>
      </c>
      <c r="G58" s="188">
        <f>IF(G63="P",G13-G54,G13-G55)</f>
        <v>298</v>
      </c>
      <c r="H58" s="188">
        <f>IF(H63="P",H13-H54,H13-H55)</f>
        <v>298</v>
      </c>
      <c r="I58" s="68">
        <f>IF(I63="P",I13-I54,I13-I55)</f>
        <v>298</v>
      </c>
    </row>
    <row r="59" spans="1:40">
      <c r="A59" s="39"/>
      <c r="B59" s="130" t="s">
        <v>176</v>
      </c>
      <c r="C59" s="9" t="s">
        <v>26</v>
      </c>
      <c r="D59" s="9"/>
      <c r="E59" s="188">
        <f>E52+1</f>
        <v>1.1514241738322692</v>
      </c>
      <c r="F59" s="188">
        <f>F52+1</f>
        <v>1.2571756613511071</v>
      </c>
      <c r="G59" s="188">
        <f>G52+1</f>
        <v>17.778955226753549</v>
      </c>
      <c r="H59" s="188">
        <f>H52+1</f>
        <v>21.237993529290478</v>
      </c>
      <c r="I59" s="68">
        <f>I52+1</f>
        <v>24.947416917915575</v>
      </c>
    </row>
    <row r="60" spans="1:40">
      <c r="A60" s="39"/>
      <c r="B60" s="10" t="s">
        <v>27</v>
      </c>
      <c r="C60" s="9"/>
      <c r="D60" s="9"/>
      <c r="E60" s="188">
        <f>E59/E58%</f>
        <v>6.978328326256177</v>
      </c>
      <c r="F60" s="188">
        <f>F59/F58%</f>
        <v>7.6192464324309519</v>
      </c>
      <c r="G60" s="188">
        <f>G59/G58%</f>
        <v>5.9660923579709895</v>
      </c>
      <c r="H60" s="188">
        <f>H59/H58%</f>
        <v>7.1268434662048579</v>
      </c>
      <c r="I60" s="68">
        <f>I59/I58%</f>
        <v>8.371616415407912</v>
      </c>
    </row>
    <row r="61" spans="1:40">
      <c r="A61" s="39"/>
      <c r="B61" s="10" t="s">
        <v>77</v>
      </c>
      <c r="C61" s="9" t="s">
        <v>26</v>
      </c>
      <c r="D61" s="9"/>
      <c r="E61" s="188">
        <f>E58-E59</f>
        <v>15.34857582616773</v>
      </c>
      <c r="F61" s="188">
        <f>F58-F59</f>
        <v>15.242824338648893</v>
      </c>
      <c r="G61" s="188">
        <f>G58-G59</f>
        <v>280.22104477324643</v>
      </c>
      <c r="H61" s="188">
        <f>H58-H59</f>
        <v>276.76200647070954</v>
      </c>
      <c r="I61" s="68">
        <f>I58-I59</f>
        <v>273.05258308208442</v>
      </c>
      <c r="AD61" s="27"/>
      <c r="AE61" s="27"/>
      <c r="AF61" s="27"/>
      <c r="AG61" s="27"/>
    </row>
    <row r="62" spans="1:40">
      <c r="A62" s="40"/>
      <c r="B62" s="15" t="s">
        <v>19</v>
      </c>
      <c r="C62" s="13"/>
      <c r="D62" s="13"/>
      <c r="E62" s="105">
        <v>1</v>
      </c>
      <c r="F62" s="105">
        <v>2</v>
      </c>
      <c r="G62" s="105">
        <v>1</v>
      </c>
      <c r="H62" s="105">
        <v>1</v>
      </c>
      <c r="I62" s="272">
        <v>1</v>
      </c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H62" s="27"/>
      <c r="AI62" s="27"/>
      <c r="AJ62" s="27"/>
    </row>
    <row r="63" spans="1:40" s="27" customFormat="1">
      <c r="A63" s="40"/>
      <c r="B63" s="127" t="s">
        <v>115</v>
      </c>
      <c r="C63" s="13"/>
      <c r="D63" s="13"/>
      <c r="E63" s="273" t="s">
        <v>196</v>
      </c>
      <c r="F63" s="273" t="s">
        <v>196</v>
      </c>
      <c r="G63" s="273" t="s">
        <v>116</v>
      </c>
      <c r="H63" s="273" t="s">
        <v>116</v>
      </c>
      <c r="I63" s="274" t="s">
        <v>116</v>
      </c>
      <c r="M63" s="162"/>
      <c r="N63" s="162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40">
      <c r="A64" s="40"/>
      <c r="B64" s="15" t="s">
        <v>55</v>
      </c>
      <c r="C64" s="13" t="s">
        <v>56</v>
      </c>
      <c r="D64" s="13"/>
      <c r="E64" s="110">
        <v>375</v>
      </c>
      <c r="F64" s="110">
        <v>428</v>
      </c>
      <c r="G64" s="110">
        <v>1500</v>
      </c>
      <c r="H64" s="110">
        <v>1500</v>
      </c>
      <c r="I64" s="111">
        <v>1500</v>
      </c>
      <c r="K64" t="s">
        <v>177</v>
      </c>
    </row>
    <row r="65" spans="1:36">
      <c r="A65" s="40"/>
      <c r="B65" s="15" t="s">
        <v>17</v>
      </c>
      <c r="C65" s="13" t="s">
        <v>13</v>
      </c>
      <c r="D65" s="13"/>
      <c r="E65" s="112">
        <v>0.92</v>
      </c>
      <c r="F65" s="112">
        <v>0.92</v>
      </c>
      <c r="G65" s="112">
        <v>0.92</v>
      </c>
      <c r="H65" s="112">
        <v>0.92</v>
      </c>
      <c r="I65" s="239">
        <v>0.92</v>
      </c>
    </row>
    <row r="66" spans="1:36">
      <c r="A66" s="40"/>
      <c r="B66" s="15" t="s">
        <v>8</v>
      </c>
      <c r="C66" s="13" t="s">
        <v>18</v>
      </c>
      <c r="D66" s="13"/>
      <c r="E66" s="189">
        <f>E61*E57*9.8*E65</f>
        <v>3044.4207122720222</v>
      </c>
      <c r="F66" s="189">
        <f>F61*F57*9.8*F65</f>
        <v>3298.3033016942022</v>
      </c>
      <c r="G66" s="189">
        <f>G61*G57*9.8*G65</f>
        <v>2021.1783517404722</v>
      </c>
      <c r="H66" s="189">
        <f>H61*H57*9.8*H65</f>
        <v>22457.576253059255</v>
      </c>
      <c r="I66" s="50">
        <f>I61*I57*9.8*I65</f>
        <v>22156.578801612661</v>
      </c>
    </row>
    <row r="67" spans="1:36">
      <c r="A67" s="40"/>
      <c r="B67" s="15" t="s">
        <v>78</v>
      </c>
      <c r="C67" s="13" t="s">
        <v>18</v>
      </c>
      <c r="D67" s="13"/>
      <c r="E67" s="189">
        <f>ROUND(E66*0.95,-1)</f>
        <v>2890</v>
      </c>
      <c r="F67" s="189">
        <f>ROUND(F66*0.95,-1)</f>
        <v>3130</v>
      </c>
      <c r="G67" s="189">
        <f>ROUND(G66*0.95,-1)</f>
        <v>1920</v>
      </c>
      <c r="H67" s="189">
        <f>ROUND(H66*0.95,-1)</f>
        <v>21330</v>
      </c>
      <c r="I67" s="50">
        <f>ROUND(I66*0.95,-1)</f>
        <v>21050</v>
      </c>
    </row>
    <row r="68" spans="1:36">
      <c r="A68" s="40"/>
      <c r="B68" s="15" t="s">
        <v>49</v>
      </c>
      <c r="C68" s="13" t="s">
        <v>103</v>
      </c>
      <c r="D68" s="13"/>
      <c r="E68" s="190">
        <f>ROUND(E67/E62/0.9+0.05,2)</f>
        <v>3211.16</v>
      </c>
      <c r="F68" s="190">
        <f>ROUND(F67/F62/0.9+0.05,2)</f>
        <v>1738.94</v>
      </c>
      <c r="G68" s="190">
        <f>ROUND(G67/G62/0.9+0.05,2)</f>
        <v>2133.38</v>
      </c>
      <c r="H68" s="190">
        <f>ROUND(H67/H62/0.9+0.05,2)</f>
        <v>23700.05</v>
      </c>
      <c r="I68" s="89">
        <f>ROUND(I67/I62/0.9+0.05,2)</f>
        <v>23388.94</v>
      </c>
    </row>
    <row r="69" spans="1:36">
      <c r="A69" s="40"/>
      <c r="B69" s="15" t="s">
        <v>50</v>
      </c>
      <c r="C69" s="13" t="s">
        <v>98</v>
      </c>
      <c r="D69" s="13"/>
      <c r="E69" s="113">
        <v>3.3</v>
      </c>
      <c r="F69" s="113">
        <v>3.3</v>
      </c>
      <c r="G69" s="113">
        <v>3.3</v>
      </c>
      <c r="H69" s="113">
        <v>3.3</v>
      </c>
      <c r="I69" s="240">
        <v>3.3</v>
      </c>
      <c r="K69" t="s">
        <v>177</v>
      </c>
    </row>
    <row r="70" spans="1:36">
      <c r="A70" s="40" t="s">
        <v>99</v>
      </c>
      <c r="B70" s="15"/>
      <c r="C70" s="13"/>
      <c r="D70" s="13"/>
      <c r="E70" s="181"/>
      <c r="F70" s="181"/>
      <c r="G70" s="181"/>
      <c r="H70" s="181"/>
      <c r="I70" s="48"/>
    </row>
    <row r="71" spans="1:36">
      <c r="A71" s="40"/>
      <c r="B71" s="15" t="s">
        <v>57</v>
      </c>
      <c r="C71" s="13" t="s">
        <v>103</v>
      </c>
      <c r="D71" s="13"/>
      <c r="E71" s="191">
        <f>ROUND(E68*E62/E72/0.99,-2)</f>
        <v>3200</v>
      </c>
      <c r="F71" s="191">
        <f>ROUND(F68*F62/F72/0.99,-2)</f>
        <v>3500</v>
      </c>
      <c r="G71" s="191">
        <f>ROUND(G68*G62/G72/0.99,-2)</f>
        <v>2200</v>
      </c>
      <c r="H71" s="191">
        <f>ROUND(H68*H62/H72/0.99,-2)</f>
        <v>23900</v>
      </c>
      <c r="I71" s="41">
        <f>ROUND(I68*I62/I72/0.99,-2)</f>
        <v>23600</v>
      </c>
    </row>
    <row r="72" spans="1:36">
      <c r="A72" s="40"/>
      <c r="B72" s="15" t="s">
        <v>23</v>
      </c>
      <c r="C72" s="13"/>
      <c r="D72" s="13"/>
      <c r="E72" s="114">
        <v>1</v>
      </c>
      <c r="F72" s="114">
        <v>1</v>
      </c>
      <c r="G72" s="114">
        <v>1</v>
      </c>
      <c r="H72" s="114">
        <v>1</v>
      </c>
      <c r="I72" s="115">
        <v>1</v>
      </c>
      <c r="K72" t="s">
        <v>177</v>
      </c>
    </row>
    <row r="73" spans="1:36">
      <c r="A73" s="40"/>
      <c r="B73" s="15" t="s">
        <v>24</v>
      </c>
      <c r="C73" s="13" t="s">
        <v>25</v>
      </c>
      <c r="D73" s="13"/>
      <c r="E73" s="106">
        <v>10</v>
      </c>
      <c r="F73" s="106">
        <v>10</v>
      </c>
      <c r="G73" s="106">
        <v>5</v>
      </c>
      <c r="H73" s="106">
        <v>5</v>
      </c>
      <c r="I73" s="230">
        <v>5</v>
      </c>
    </row>
    <row r="74" spans="1:36">
      <c r="A74" s="40"/>
      <c r="B74" s="15" t="s">
        <v>53</v>
      </c>
      <c r="C74" s="13" t="s">
        <v>98</v>
      </c>
      <c r="D74" s="13"/>
      <c r="E74" s="106">
        <v>33</v>
      </c>
      <c r="F74" s="106">
        <v>33</v>
      </c>
      <c r="G74" s="106">
        <v>11</v>
      </c>
      <c r="H74" s="106">
        <v>11</v>
      </c>
      <c r="I74" s="230">
        <v>11</v>
      </c>
      <c r="K74" t="s">
        <v>177</v>
      </c>
    </row>
    <row r="75" spans="1:36" ht="13" thickBot="1">
      <c r="A75" s="96"/>
      <c r="B75" s="91" t="s">
        <v>31</v>
      </c>
      <c r="C75" s="86" t="s">
        <v>18</v>
      </c>
      <c r="D75" s="97"/>
      <c r="E75" s="192">
        <f>(E67*0.994)</f>
        <v>2872.66</v>
      </c>
      <c r="F75" s="192">
        <f>(F67*0.994)</f>
        <v>3111.22</v>
      </c>
      <c r="G75" s="192">
        <f>(G67*0.994)</f>
        <v>1908.48</v>
      </c>
      <c r="H75" s="192">
        <f>(H67*0.994)</f>
        <v>21202.02</v>
      </c>
      <c r="I75" s="98">
        <f>(I67*0.994)</f>
        <v>20923.7</v>
      </c>
    </row>
    <row r="76" spans="1:36" ht="13">
      <c r="A76" s="241" t="s">
        <v>79</v>
      </c>
      <c r="B76" s="100"/>
      <c r="C76" s="54"/>
      <c r="D76" s="54"/>
      <c r="E76" s="242"/>
      <c r="F76" s="242"/>
      <c r="G76" s="242"/>
      <c r="H76" s="242"/>
      <c r="I76" s="243"/>
      <c r="AD76" s="59"/>
      <c r="AE76" s="59"/>
      <c r="AF76" s="59"/>
      <c r="AG76" s="59"/>
    </row>
    <row r="77" spans="1:36" ht="13">
      <c r="A77" s="42" t="s">
        <v>43</v>
      </c>
      <c r="B77" s="15"/>
      <c r="C77" s="13"/>
      <c r="D77" s="13"/>
      <c r="E77" s="181"/>
      <c r="F77" s="181"/>
      <c r="G77" s="181"/>
      <c r="H77" s="181"/>
      <c r="I77" s="48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</row>
    <row r="78" spans="1:36" s="59" customFormat="1" ht="13">
      <c r="A78" s="64"/>
      <c r="B78" s="60" t="s">
        <v>80</v>
      </c>
      <c r="C78" s="147" t="s">
        <v>153</v>
      </c>
      <c r="D78" s="58"/>
      <c r="E78" s="116">
        <v>200</v>
      </c>
      <c r="F78" s="116">
        <v>100</v>
      </c>
      <c r="G78" s="116">
        <v>100</v>
      </c>
      <c r="H78" s="116">
        <v>100</v>
      </c>
      <c r="I78" s="117">
        <v>100</v>
      </c>
      <c r="M78" s="163"/>
      <c r="N78" s="163"/>
      <c r="AD78" s="66"/>
      <c r="AE78" s="66"/>
      <c r="AF78" s="66"/>
      <c r="AG78" s="66"/>
    </row>
    <row r="79" spans="1:36" s="59" customFormat="1" ht="13">
      <c r="A79" s="65"/>
      <c r="B79" s="60" t="s">
        <v>3</v>
      </c>
      <c r="C79" s="147" t="s">
        <v>153</v>
      </c>
      <c r="D79" s="58"/>
      <c r="E79" s="116">
        <v>200</v>
      </c>
      <c r="F79" s="116">
        <v>110</v>
      </c>
      <c r="G79" s="116">
        <v>120</v>
      </c>
      <c r="H79" s="116">
        <v>120</v>
      </c>
      <c r="I79" s="117">
        <v>120</v>
      </c>
      <c r="K79" s="75"/>
      <c r="M79" s="163"/>
      <c r="N79" s="163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</row>
    <row r="80" spans="1:36" s="59" customFormat="1" ht="13">
      <c r="A80" s="65"/>
      <c r="B80" s="60" t="s">
        <v>138</v>
      </c>
      <c r="C80" s="147" t="s">
        <v>152</v>
      </c>
      <c r="D80" s="116">
        <v>20</v>
      </c>
      <c r="E80" s="193">
        <v>100</v>
      </c>
      <c r="F80" s="193">
        <f>$D$80*F28/1000</f>
        <v>191.71266542980828</v>
      </c>
      <c r="G80" s="193">
        <f>$D$80*G28/1000</f>
        <v>24.418091584233341</v>
      </c>
      <c r="H80" s="193">
        <f>$D$80*H28/1000</f>
        <v>154.53314992515132</v>
      </c>
      <c r="I80" s="244">
        <f>$D$80*I28/1000</f>
        <v>154.53314992515132</v>
      </c>
      <c r="K80" s="260" t="s">
        <v>178</v>
      </c>
      <c r="M80" s="163"/>
      <c r="N80" s="163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</row>
    <row r="81" spans="1:36" s="66" customFormat="1" ht="13">
      <c r="A81" s="65"/>
      <c r="B81" s="60" t="s">
        <v>92</v>
      </c>
      <c r="C81" s="58" t="s">
        <v>28</v>
      </c>
      <c r="D81" s="116">
        <v>3000</v>
      </c>
      <c r="E81" s="194">
        <f>$D$81*E37/1000</f>
        <v>64.795440662933913</v>
      </c>
      <c r="F81" s="194">
        <f>$D$81*F37/1000</f>
        <v>92.507174884984778</v>
      </c>
      <c r="G81" s="194">
        <f>$D$81*G37/1000</f>
        <v>129.53429578504546</v>
      </c>
      <c r="H81" s="194">
        <f>$D$81*H37/1000</f>
        <v>278.12779830662288</v>
      </c>
      <c r="I81" s="88">
        <f>$D$81*I37/1000</f>
        <v>259.52127589667003</v>
      </c>
      <c r="J81" s="74"/>
      <c r="K81" s="260" t="s">
        <v>179</v>
      </c>
      <c r="M81" s="164"/>
      <c r="N81" s="164"/>
    </row>
    <row r="82" spans="1:36" s="66" customFormat="1" ht="13">
      <c r="A82" s="65"/>
      <c r="B82" s="60" t="s">
        <v>96</v>
      </c>
      <c r="C82" s="58" t="s">
        <v>28</v>
      </c>
      <c r="D82" s="116">
        <v>10000</v>
      </c>
      <c r="E82" s="194">
        <f>$D$82*E48/1000</f>
        <v>785.08400413208938</v>
      </c>
      <c r="F82" s="194">
        <f>$D$82*F48/1000</f>
        <v>934.62381444296363</v>
      </c>
      <c r="G82" s="194">
        <f>$D$82*G48/1000</f>
        <v>1041.4379646650164</v>
      </c>
      <c r="H82" s="194">
        <f>$D$82*H48/1000</f>
        <v>2603.5949116625407</v>
      </c>
      <c r="I82" s="88">
        <f>$D$82*I48/1000</f>
        <v>2603.5949116625407</v>
      </c>
      <c r="K82" s="260" t="s">
        <v>179</v>
      </c>
      <c r="M82" s="164"/>
      <c r="N82" s="164"/>
      <c r="AD82"/>
      <c r="AE82"/>
      <c r="AF82"/>
      <c r="AG82"/>
    </row>
    <row r="83" spans="1:36" s="66" customFormat="1" ht="13">
      <c r="A83" s="65"/>
      <c r="B83" s="60" t="s">
        <v>42</v>
      </c>
      <c r="C83" s="58" t="s">
        <v>64</v>
      </c>
      <c r="D83" s="58"/>
      <c r="E83" s="118">
        <v>200</v>
      </c>
      <c r="F83" s="118">
        <v>250</v>
      </c>
      <c r="G83" s="118">
        <v>555</v>
      </c>
      <c r="H83" s="118">
        <v>555</v>
      </c>
      <c r="I83" s="119">
        <v>555</v>
      </c>
      <c r="M83" s="164"/>
      <c r="N83" s="164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3">
      <c r="A84" s="40"/>
      <c r="B84" s="23" t="s">
        <v>15</v>
      </c>
      <c r="C84" s="58"/>
      <c r="D84" s="58"/>
      <c r="E84" s="195">
        <f>SUM(E78:E83)</f>
        <v>1549.8794447950233</v>
      </c>
      <c r="F84" s="195">
        <f>SUM(F78:F83)</f>
        <v>1678.8436547577567</v>
      </c>
      <c r="G84" s="195">
        <f>SUM(G78:G83)</f>
        <v>1970.3903520342951</v>
      </c>
      <c r="H84" s="195">
        <f>SUM(H78:H83)</f>
        <v>3811.2558598943151</v>
      </c>
      <c r="I84" s="73">
        <f>SUM(I78:I83)</f>
        <v>3792.6493374843621</v>
      </c>
    </row>
    <row r="85" spans="1:36" ht="13">
      <c r="A85" s="40"/>
      <c r="B85" s="60"/>
      <c r="C85" s="58"/>
      <c r="D85" s="58"/>
      <c r="E85" s="196"/>
      <c r="F85" s="196"/>
      <c r="G85" s="196"/>
      <c r="H85" s="196"/>
      <c r="I85" s="57"/>
      <c r="AD85" s="59"/>
      <c r="AE85" s="59"/>
      <c r="AF85" s="59"/>
      <c r="AG85" s="59"/>
    </row>
    <row r="86" spans="1:36">
      <c r="A86" s="40" t="s">
        <v>60</v>
      </c>
      <c r="B86" s="15"/>
      <c r="C86" s="13"/>
      <c r="D86" s="13"/>
      <c r="E86" s="181"/>
      <c r="F86" s="181"/>
      <c r="G86" s="181"/>
      <c r="H86" s="181"/>
      <c r="I86" s="48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H86" s="59"/>
      <c r="AI86" s="59"/>
      <c r="AJ86" s="59"/>
    </row>
    <row r="87" spans="1:36" s="59" customFormat="1" ht="13">
      <c r="A87" s="64"/>
      <c r="B87" s="60" t="s">
        <v>58</v>
      </c>
      <c r="C87" s="147" t="s">
        <v>153</v>
      </c>
      <c r="D87" s="58"/>
      <c r="E87" s="116">
        <v>50</v>
      </c>
      <c r="F87" s="116">
        <v>50</v>
      </c>
      <c r="G87" s="116">
        <v>100</v>
      </c>
      <c r="H87" s="116">
        <v>100</v>
      </c>
      <c r="I87" s="117">
        <v>100</v>
      </c>
      <c r="M87" s="163"/>
      <c r="N87" s="163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/>
      <c r="AI87"/>
      <c r="AJ87"/>
    </row>
    <row r="88" spans="1:36">
      <c r="A88" s="40"/>
      <c r="B88" s="15" t="s">
        <v>72</v>
      </c>
      <c r="C88" s="147" t="s">
        <v>153</v>
      </c>
      <c r="D88" s="13"/>
      <c r="E88" s="120">
        <v>700</v>
      </c>
      <c r="F88" s="120">
        <v>800</v>
      </c>
      <c r="G88" s="120">
        <v>300</v>
      </c>
      <c r="H88" s="120">
        <v>300</v>
      </c>
      <c r="I88" s="231">
        <v>300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s="1" customFormat="1">
      <c r="A89" s="40"/>
      <c r="B89" s="20" t="s">
        <v>59</v>
      </c>
      <c r="C89" s="67"/>
      <c r="D89" s="14"/>
      <c r="E89" s="197">
        <f>E88+E87</f>
        <v>750</v>
      </c>
      <c r="F89" s="197">
        <f>F88+F87</f>
        <v>850</v>
      </c>
      <c r="G89" s="197">
        <f>G88+G87</f>
        <v>400</v>
      </c>
      <c r="H89" s="197">
        <f>H88+H87</f>
        <v>400</v>
      </c>
      <c r="I89" s="51">
        <f>I88+I87</f>
        <v>400</v>
      </c>
      <c r="M89" s="4"/>
      <c r="N89" s="4"/>
    </row>
    <row r="90" spans="1:36" s="1" customFormat="1">
      <c r="A90" s="40"/>
      <c r="B90" s="20"/>
      <c r="C90" s="24"/>
      <c r="D90" s="13"/>
      <c r="E90" s="189"/>
      <c r="F90" s="189"/>
      <c r="G90" s="189"/>
      <c r="H90" s="189"/>
      <c r="I90" s="50"/>
      <c r="M90" s="4"/>
      <c r="N90" s="4"/>
    </row>
    <row r="91" spans="1:36" s="1" customFormat="1">
      <c r="A91" s="40" t="s">
        <v>37</v>
      </c>
      <c r="B91" s="15"/>
      <c r="C91" s="13"/>
      <c r="D91" s="13"/>
      <c r="E91" s="189"/>
      <c r="F91" s="189"/>
      <c r="G91" s="189"/>
      <c r="H91" s="189"/>
      <c r="I91" s="50"/>
      <c r="M91" s="4"/>
      <c r="N91" s="4"/>
    </row>
    <row r="92" spans="1:36" s="1" customFormat="1">
      <c r="A92" s="40"/>
      <c r="B92" s="127" t="s">
        <v>114</v>
      </c>
      <c r="C92" s="13"/>
      <c r="D92" s="13"/>
      <c r="E92" s="110">
        <v>3000</v>
      </c>
      <c r="F92" s="110">
        <v>3000</v>
      </c>
      <c r="G92" s="110">
        <v>5000</v>
      </c>
      <c r="H92" s="110">
        <v>5000</v>
      </c>
      <c r="I92" s="111">
        <v>5000</v>
      </c>
      <c r="K92" s="263" t="s">
        <v>180</v>
      </c>
      <c r="L92" s="264"/>
      <c r="M92" s="265"/>
      <c r="N92" s="4"/>
      <c r="O92" s="262"/>
    </row>
    <row r="93" spans="1:36" s="1" customFormat="1">
      <c r="A93" s="40"/>
      <c r="B93" s="15" t="s">
        <v>66</v>
      </c>
      <c r="C93" s="76"/>
      <c r="D93" s="13"/>
      <c r="E93" s="190">
        <f>Kc*((kW/1000)^0.7)/(Hn^0.3)</f>
        <v>2779.2609116936696</v>
      </c>
      <c r="F93" s="190">
        <f>F62*Kc*((0.5*kW/1000)^0.7)/(Hn^0.3)</f>
        <v>3625.698244312342</v>
      </c>
      <c r="G93" s="190">
        <f>Kc*((kW/1000)^0.7)/(Hn^0.3)</f>
        <v>873.3370612424261</v>
      </c>
      <c r="H93" s="190">
        <f>Kc*((kW/1000)^0.7)/(Hn^0.3)</f>
        <v>4729.1480739568951</v>
      </c>
      <c r="I93" s="89">
        <f>Kc*((kW/1000)^0.7)/(Hn^0.3)</f>
        <v>4704.6122822080279</v>
      </c>
      <c r="K93" s="266"/>
      <c r="L93" s="127" t="s">
        <v>184</v>
      </c>
      <c r="M93" s="267">
        <v>1500</v>
      </c>
      <c r="N93" s="4"/>
    </row>
    <row r="94" spans="1:36" s="1" customFormat="1">
      <c r="A94" s="40"/>
      <c r="B94" s="15" t="s">
        <v>65</v>
      </c>
      <c r="C94" s="13"/>
      <c r="D94" s="13"/>
      <c r="E94" s="110">
        <v>0</v>
      </c>
      <c r="F94" s="110">
        <v>0</v>
      </c>
      <c r="G94" s="110">
        <v>0</v>
      </c>
      <c r="H94" s="110">
        <v>0</v>
      </c>
      <c r="I94" s="111">
        <v>100</v>
      </c>
      <c r="K94" s="266"/>
      <c r="L94" s="127" t="s">
        <v>181</v>
      </c>
      <c r="M94" s="267">
        <v>2000</v>
      </c>
      <c r="N94" s="4"/>
    </row>
    <row r="95" spans="1:36" s="1" customFormat="1">
      <c r="A95" s="40"/>
      <c r="B95" s="15" t="s">
        <v>61</v>
      </c>
      <c r="C95" s="13"/>
      <c r="D95" s="13"/>
      <c r="E95" s="110">
        <v>0</v>
      </c>
      <c r="F95" s="110">
        <v>5</v>
      </c>
      <c r="G95" s="110">
        <v>5</v>
      </c>
      <c r="H95" s="110">
        <v>5</v>
      </c>
      <c r="I95" s="111">
        <v>5</v>
      </c>
      <c r="K95" s="266"/>
      <c r="L95" s="127" t="s">
        <v>182</v>
      </c>
      <c r="M95" s="267">
        <v>200</v>
      </c>
      <c r="N95" s="4"/>
    </row>
    <row r="96" spans="1:36" s="1" customFormat="1">
      <c r="A96" s="40"/>
      <c r="B96" s="10" t="s">
        <v>0</v>
      </c>
      <c r="C96" s="13"/>
      <c r="D96" s="13"/>
      <c r="E96" s="110">
        <v>0</v>
      </c>
      <c r="F96" s="110">
        <v>0</v>
      </c>
      <c r="G96" s="110">
        <v>50</v>
      </c>
      <c r="H96" s="110">
        <v>50</v>
      </c>
      <c r="I96" s="111">
        <v>50</v>
      </c>
      <c r="K96" s="266"/>
      <c r="L96" s="20" t="s">
        <v>183</v>
      </c>
      <c r="M96" s="261">
        <f>M93*(M95^0.3)/((M94/1000)^0.7)</f>
        <v>4525.6322524088719</v>
      </c>
      <c r="N96" s="4"/>
    </row>
    <row r="97" spans="1:36" s="1" customFormat="1">
      <c r="A97" s="40"/>
      <c r="B97" s="130" t="s">
        <v>113</v>
      </c>
      <c r="C97" s="13"/>
      <c r="D97" s="13"/>
      <c r="E97" s="132">
        <f>IF(E94&gt;0,E94+E95+E96,E93)</f>
        <v>2779.2609116936696</v>
      </c>
      <c r="F97" s="132">
        <f>IF(F94&gt;0,F94+F95+F96,F93)</f>
        <v>3625.698244312342</v>
      </c>
      <c r="G97" s="132">
        <f>IF(G94&gt;0,G94+G95+G96,G93)</f>
        <v>873.3370612424261</v>
      </c>
      <c r="H97" s="132">
        <f>IF(H94&gt;0,H94+H95+H96,H93)</f>
        <v>4729.1480739568951</v>
      </c>
      <c r="I97" s="269">
        <f>IF(I94&gt;0,I94+I95+I96,I93)</f>
        <v>155</v>
      </c>
      <c r="K97" s="293" t="s">
        <v>199</v>
      </c>
      <c r="L97" s="268"/>
      <c r="M97" s="3"/>
      <c r="N97" s="4"/>
    </row>
    <row r="98" spans="1:36" s="1" customFormat="1">
      <c r="A98" s="39"/>
      <c r="B98" s="130" t="s">
        <v>154</v>
      </c>
      <c r="C98" s="9"/>
      <c r="D98" s="9"/>
      <c r="E98" s="110">
        <v>75</v>
      </c>
      <c r="F98" s="110">
        <v>100</v>
      </c>
      <c r="G98" s="110">
        <v>75</v>
      </c>
      <c r="H98" s="110">
        <v>75</v>
      </c>
      <c r="I98" s="111">
        <v>75</v>
      </c>
      <c r="M98" s="4"/>
      <c r="N98" s="4"/>
      <c r="AD98"/>
      <c r="AE98"/>
      <c r="AF98"/>
      <c r="AG98"/>
    </row>
    <row r="99" spans="1:36" s="1" customFormat="1">
      <c r="A99" s="39"/>
      <c r="B99" s="10" t="s">
        <v>48</v>
      </c>
      <c r="C99" s="9"/>
      <c r="D99" s="9"/>
      <c r="E99" s="110">
        <v>20</v>
      </c>
      <c r="F99" s="110">
        <v>25</v>
      </c>
      <c r="G99" s="110">
        <v>50</v>
      </c>
      <c r="H99" s="110">
        <v>50</v>
      </c>
      <c r="I99" s="111">
        <v>50</v>
      </c>
      <c r="M99" s="4"/>
      <c r="N99" s="4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>
      <c r="A100" s="39"/>
      <c r="B100" s="130" t="s">
        <v>118</v>
      </c>
      <c r="C100" s="9"/>
      <c r="D100" s="9"/>
      <c r="E100" s="110">
        <v>15</v>
      </c>
      <c r="F100" s="110">
        <v>25</v>
      </c>
      <c r="G100" s="110">
        <v>25</v>
      </c>
      <c r="H100" s="110">
        <v>25</v>
      </c>
      <c r="I100" s="111">
        <v>25</v>
      </c>
      <c r="AD100" s="7"/>
      <c r="AE100" s="7"/>
      <c r="AF100" s="7"/>
      <c r="AG100" s="7"/>
    </row>
    <row r="101" spans="1:36">
      <c r="A101" s="39"/>
      <c r="B101" s="10" t="s">
        <v>40</v>
      </c>
      <c r="C101" s="9"/>
      <c r="D101" s="9"/>
      <c r="E101" s="110">
        <v>50</v>
      </c>
      <c r="F101" s="110">
        <v>60</v>
      </c>
      <c r="G101" s="110">
        <v>50</v>
      </c>
      <c r="H101" s="110">
        <v>50</v>
      </c>
      <c r="I101" s="111">
        <v>50</v>
      </c>
      <c r="L101">
        <f>1.8*1.7</f>
        <v>3.06</v>
      </c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s="7" customFormat="1">
      <c r="A102" s="39"/>
      <c r="B102" s="10" t="s">
        <v>41</v>
      </c>
      <c r="C102" s="9"/>
      <c r="D102" s="9"/>
      <c r="E102" s="110">
        <v>60</v>
      </c>
      <c r="F102" s="110">
        <v>70</v>
      </c>
      <c r="G102" s="110">
        <v>60</v>
      </c>
      <c r="H102" s="110">
        <v>60</v>
      </c>
      <c r="I102" s="111">
        <v>60</v>
      </c>
      <c r="M102" s="157"/>
      <c r="N102" s="157"/>
      <c r="AD102"/>
      <c r="AE102"/>
      <c r="AF102"/>
      <c r="AG102"/>
    </row>
    <row r="103" spans="1:36" s="7" customFormat="1">
      <c r="A103" s="39"/>
      <c r="B103" s="10" t="s">
        <v>9</v>
      </c>
      <c r="C103" s="9"/>
      <c r="D103" s="9"/>
      <c r="E103" s="110">
        <v>200</v>
      </c>
      <c r="F103" s="110">
        <v>300</v>
      </c>
      <c r="G103" s="110">
        <v>200</v>
      </c>
      <c r="H103" s="110">
        <v>200</v>
      </c>
      <c r="I103" s="111">
        <v>200</v>
      </c>
      <c r="M103" s="157"/>
      <c r="N103" s="157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ht="13">
      <c r="A104" s="248"/>
      <c r="B104" s="249" t="s">
        <v>54</v>
      </c>
      <c r="C104" s="80"/>
      <c r="D104" s="80"/>
      <c r="E104" s="198">
        <f>SUM(E97:E103)</f>
        <v>3199.2609116936696</v>
      </c>
      <c r="F104" s="198">
        <f>SUM(F97:F103)</f>
        <v>4205.6982443123416</v>
      </c>
      <c r="G104" s="198">
        <f>SUM(G97:G103)</f>
        <v>1333.337061242426</v>
      </c>
      <c r="H104" s="198">
        <f>SUM(H97:H103)</f>
        <v>5189.1480739568951</v>
      </c>
      <c r="I104" s="245">
        <f>SUM(I97:I103)</f>
        <v>615</v>
      </c>
    </row>
    <row r="105" spans="1:36">
      <c r="A105" s="40" t="s">
        <v>30</v>
      </c>
      <c r="B105" s="15"/>
      <c r="C105" s="13"/>
      <c r="D105" s="13"/>
      <c r="E105" s="199"/>
      <c r="F105" s="199"/>
      <c r="G105" s="199"/>
      <c r="H105" s="199"/>
      <c r="I105" s="52"/>
      <c r="J105" s="87"/>
    </row>
    <row r="106" spans="1:36">
      <c r="A106" s="39"/>
      <c r="B106" s="10" t="s">
        <v>33</v>
      </c>
      <c r="C106" s="19" t="s">
        <v>117</v>
      </c>
      <c r="D106" s="19">
        <v>40000</v>
      </c>
      <c r="E106" s="132">
        <f>$D$106*E73/1000</f>
        <v>400</v>
      </c>
      <c r="F106" s="132">
        <f>$D$106*F73/1000</f>
        <v>400</v>
      </c>
      <c r="G106" s="132">
        <f>$D$106*G73/1000</f>
        <v>200</v>
      </c>
      <c r="H106" s="132">
        <f>$D$106*H73/1000</f>
        <v>200</v>
      </c>
      <c r="I106" s="246">
        <f>$D$106*I73/1000</f>
        <v>200</v>
      </c>
    </row>
    <row r="107" spans="1:36">
      <c r="A107" s="39"/>
      <c r="B107" s="10" t="s">
        <v>73</v>
      </c>
      <c r="C107" s="9"/>
      <c r="D107" s="9"/>
      <c r="E107" s="110">
        <v>0</v>
      </c>
      <c r="F107" s="110">
        <v>10</v>
      </c>
      <c r="G107" s="110">
        <v>10</v>
      </c>
      <c r="H107" s="110">
        <v>10</v>
      </c>
      <c r="I107" s="111">
        <v>10</v>
      </c>
    </row>
    <row r="108" spans="1:36">
      <c r="A108" s="39"/>
      <c r="B108" s="10" t="s">
        <v>74</v>
      </c>
      <c r="C108" s="9"/>
      <c r="D108" s="9"/>
      <c r="E108" s="110">
        <v>25</v>
      </c>
      <c r="F108" s="110">
        <v>25</v>
      </c>
      <c r="G108" s="110">
        <v>0</v>
      </c>
      <c r="H108" s="110">
        <v>0</v>
      </c>
      <c r="I108" s="111">
        <v>0</v>
      </c>
    </row>
    <row r="109" spans="1:36">
      <c r="A109" s="39"/>
      <c r="B109" s="10" t="s">
        <v>1</v>
      </c>
      <c r="C109" s="9"/>
      <c r="D109" s="9"/>
      <c r="E109" s="121">
        <v>200</v>
      </c>
      <c r="F109" s="121">
        <v>200</v>
      </c>
      <c r="G109" s="121">
        <v>25</v>
      </c>
      <c r="H109" s="121">
        <v>25</v>
      </c>
      <c r="I109" s="122">
        <v>25</v>
      </c>
    </row>
    <row r="110" spans="1:36">
      <c r="A110" s="39"/>
      <c r="B110" s="10" t="s">
        <v>51</v>
      </c>
      <c r="C110" s="9"/>
      <c r="D110" s="9"/>
      <c r="E110" s="121">
        <v>20</v>
      </c>
      <c r="F110" s="121">
        <v>20</v>
      </c>
      <c r="G110" s="121">
        <v>0</v>
      </c>
      <c r="H110" s="121">
        <v>0</v>
      </c>
      <c r="I110" s="122">
        <v>0</v>
      </c>
    </row>
    <row r="111" spans="1:36">
      <c r="A111" s="39"/>
      <c r="B111" s="15" t="s">
        <v>2</v>
      </c>
      <c r="C111" s="19"/>
      <c r="D111" s="19"/>
      <c r="E111" s="121">
        <v>20</v>
      </c>
      <c r="F111" s="121">
        <v>20</v>
      </c>
      <c r="G111" s="121">
        <v>20</v>
      </c>
      <c r="H111" s="121">
        <v>20</v>
      </c>
      <c r="I111" s="122">
        <v>20</v>
      </c>
    </row>
    <row r="112" spans="1:36" ht="13" thickBot="1">
      <c r="A112" s="39"/>
      <c r="B112" s="8" t="s">
        <v>34</v>
      </c>
      <c r="C112" s="19"/>
      <c r="D112" s="19"/>
      <c r="E112" s="197">
        <f>SUM(E106:E111)</f>
        <v>665</v>
      </c>
      <c r="F112" s="197">
        <f>SUM(F106:F111)</f>
        <v>675</v>
      </c>
      <c r="G112" s="197">
        <f>SUM(G106:G111)</f>
        <v>255</v>
      </c>
      <c r="H112" s="197">
        <f>SUM(H106:H111)</f>
        <v>255</v>
      </c>
      <c r="I112" s="51">
        <f>SUM(I106:I111)</f>
        <v>255</v>
      </c>
    </row>
    <row r="113" spans="1:36">
      <c r="A113" s="43" t="s">
        <v>52</v>
      </c>
      <c r="B113" s="44"/>
      <c r="C113" s="45"/>
      <c r="D113" s="45"/>
      <c r="E113" s="200"/>
      <c r="F113" s="200"/>
      <c r="G113" s="200"/>
      <c r="H113" s="200"/>
      <c r="I113" s="46"/>
    </row>
    <row r="114" spans="1:36" ht="13">
      <c r="A114" s="28"/>
      <c r="B114" s="29" t="s">
        <v>83</v>
      </c>
      <c r="C114" s="30"/>
      <c r="D114" s="30"/>
      <c r="E114" s="114">
        <v>50</v>
      </c>
      <c r="F114" s="114">
        <v>50</v>
      </c>
      <c r="G114" s="114">
        <v>50</v>
      </c>
      <c r="H114" s="114">
        <v>50</v>
      </c>
      <c r="I114" s="115">
        <v>50</v>
      </c>
      <c r="AD114" s="12"/>
      <c r="AE114" s="12"/>
      <c r="AF114" s="12"/>
      <c r="AG114" s="12"/>
    </row>
    <row r="115" spans="1:36" ht="13">
      <c r="A115" s="28"/>
      <c r="B115" s="29" t="str">
        <f>A77</f>
        <v>Intake and penstocks</v>
      </c>
      <c r="C115" s="31"/>
      <c r="D115" s="31"/>
      <c r="E115" s="201">
        <f>E84</f>
        <v>1549.8794447950233</v>
      </c>
      <c r="F115" s="201">
        <f>F84</f>
        <v>1678.8436547577567</v>
      </c>
      <c r="G115" s="201">
        <f>G84</f>
        <v>1970.3903520342951</v>
      </c>
      <c r="H115" s="201">
        <f>H84</f>
        <v>3811.2558598943151</v>
      </c>
      <c r="I115" s="71">
        <f>I84</f>
        <v>3792.6493374843621</v>
      </c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6"/>
      <c r="AE115" s="6"/>
      <c r="AF115" s="6"/>
      <c r="AG115" s="6"/>
      <c r="AH115" s="12"/>
      <c r="AI115" s="12"/>
      <c r="AJ115" s="12"/>
    </row>
    <row r="116" spans="1:36" s="12" customFormat="1" ht="13">
      <c r="A116" s="28"/>
      <c r="B116" s="141" t="s">
        <v>155</v>
      </c>
      <c r="C116" s="31"/>
      <c r="D116" s="31"/>
      <c r="E116" s="202">
        <f>E89</f>
        <v>750</v>
      </c>
      <c r="F116" s="202">
        <f>F89</f>
        <v>850</v>
      </c>
      <c r="G116" s="202">
        <f>G89</f>
        <v>400</v>
      </c>
      <c r="H116" s="202">
        <f>H89</f>
        <v>400</v>
      </c>
      <c r="I116" s="69">
        <f>I89</f>
        <v>400</v>
      </c>
      <c r="M116" s="165"/>
      <c r="N116" s="165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7"/>
      <c r="AE116" s="7"/>
      <c r="AF116" s="7"/>
      <c r="AG116" s="7"/>
      <c r="AH116" s="6"/>
      <c r="AI116" s="6"/>
      <c r="AJ116" s="6"/>
    </row>
    <row r="117" spans="1:36" s="6" customFormat="1">
      <c r="A117" s="32"/>
      <c r="B117" s="33" t="s">
        <v>76</v>
      </c>
      <c r="C117" s="8"/>
      <c r="D117" s="123">
        <v>0.2</v>
      </c>
      <c r="E117" s="201">
        <f>(E114+E116+E115)*$D$117</f>
        <v>469.97588895900464</v>
      </c>
      <c r="F117" s="201">
        <f>(F114+F116+F115)*$D$117</f>
        <v>515.76873095155133</v>
      </c>
      <c r="G117" s="201">
        <f>(G114+G116+G115)*$D$117</f>
        <v>484.07807040685907</v>
      </c>
      <c r="H117" s="201">
        <f>(H114+H116+H115)*$D$117</f>
        <v>852.25117197886311</v>
      </c>
      <c r="I117" s="71">
        <f>(I114+I116+I115)*$D$117</f>
        <v>848.5298674968725</v>
      </c>
      <c r="M117" s="166"/>
      <c r="N117" s="166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s="7" customFormat="1">
      <c r="A118" s="34"/>
      <c r="B118" s="33" t="s">
        <v>35</v>
      </c>
      <c r="C118" s="35"/>
      <c r="D118" s="35"/>
      <c r="E118" s="203">
        <f>E104</f>
        <v>3199.2609116936696</v>
      </c>
      <c r="F118" s="203">
        <f>F104</f>
        <v>4205.6982443123416</v>
      </c>
      <c r="G118" s="203">
        <f>G104</f>
        <v>1333.337061242426</v>
      </c>
      <c r="H118" s="203">
        <f>H104</f>
        <v>5189.1480739568951</v>
      </c>
      <c r="I118" s="70">
        <f>I104</f>
        <v>615</v>
      </c>
      <c r="M118" s="157"/>
      <c r="N118" s="157"/>
    </row>
    <row r="119" spans="1:36" s="7" customFormat="1">
      <c r="A119" s="34"/>
      <c r="B119" s="148" t="s">
        <v>30</v>
      </c>
      <c r="C119" s="35"/>
      <c r="D119" s="35"/>
      <c r="E119" s="204">
        <f>E112</f>
        <v>665</v>
      </c>
      <c r="F119" s="204">
        <f>F112</f>
        <v>675</v>
      </c>
      <c r="G119" s="204">
        <f>G112</f>
        <v>255</v>
      </c>
      <c r="H119" s="204">
        <f>H112</f>
        <v>255</v>
      </c>
      <c r="I119" s="53">
        <f>I112</f>
        <v>255</v>
      </c>
      <c r="M119" s="157"/>
      <c r="N119" s="157"/>
      <c r="AD119"/>
      <c r="AE119"/>
      <c r="AF119"/>
      <c r="AG119"/>
    </row>
    <row r="120" spans="1:36" s="7" customFormat="1">
      <c r="A120" s="34"/>
      <c r="B120" s="33" t="s">
        <v>97</v>
      </c>
      <c r="C120" s="19"/>
      <c r="D120" s="123">
        <v>0.15</v>
      </c>
      <c r="E120" s="201">
        <f>(E119+E118)*$D$120</f>
        <v>579.63913675405047</v>
      </c>
      <c r="F120" s="201">
        <f>(F119+F118)*$D$120</f>
        <v>732.10473664685117</v>
      </c>
      <c r="G120" s="201">
        <f>(G119+G118)*$D$120</f>
        <v>238.25055918636389</v>
      </c>
      <c r="H120" s="201">
        <f>(H119+H118)*$D$120</f>
        <v>816.62221109353425</v>
      </c>
      <c r="I120" s="71">
        <f>(I119+I118)*$D$120</f>
        <v>130.5</v>
      </c>
      <c r="M120" s="157"/>
      <c r="N120" s="157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1:36">
      <c r="A121" s="34"/>
      <c r="B121" s="36" t="s">
        <v>36</v>
      </c>
      <c r="C121" s="37"/>
      <c r="D121" s="37"/>
      <c r="E121" s="205">
        <f>SUM(E114:E120)</f>
        <v>7263.7553822017489</v>
      </c>
      <c r="F121" s="205">
        <f>SUM(F114:F120)</f>
        <v>8707.4153666685015</v>
      </c>
      <c r="G121" s="205">
        <f>SUM(G114:G120)</f>
        <v>4731.0560428699437</v>
      </c>
      <c r="H121" s="205">
        <f>SUM(H114:H120)</f>
        <v>11374.277316923606</v>
      </c>
      <c r="I121" s="247">
        <f>SUM(I114:I120)</f>
        <v>6091.6792049812348</v>
      </c>
    </row>
    <row r="122" spans="1:36">
      <c r="A122" s="34"/>
      <c r="B122" s="33" t="s">
        <v>100</v>
      </c>
      <c r="C122" s="35"/>
      <c r="D122" s="38"/>
      <c r="E122" s="121">
        <v>100</v>
      </c>
      <c r="F122" s="121">
        <v>100</v>
      </c>
      <c r="G122" s="121">
        <v>100</v>
      </c>
      <c r="H122" s="121">
        <v>100</v>
      </c>
      <c r="I122" s="122">
        <v>100</v>
      </c>
      <c r="AD122" s="7"/>
      <c r="AE122" s="7"/>
      <c r="AF122" s="7"/>
      <c r="AG122" s="7"/>
    </row>
    <row r="123" spans="1:36" ht="14" thickBot="1">
      <c r="A123" s="92" t="s">
        <v>15</v>
      </c>
      <c r="B123" s="93"/>
      <c r="C123" s="94"/>
      <c r="D123" s="94"/>
      <c r="E123" s="206">
        <f>E121+E122</f>
        <v>7363.7553822017489</v>
      </c>
      <c r="F123" s="206">
        <f>F121+F122</f>
        <v>8807.4153666685015</v>
      </c>
      <c r="G123" s="206">
        <f>G121+G122</f>
        <v>4831.0560428699437</v>
      </c>
      <c r="H123" s="206">
        <f>H121+H122</f>
        <v>11474.277316923606</v>
      </c>
      <c r="I123" s="95">
        <f>I121+I122</f>
        <v>6191.6792049812348</v>
      </c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s="7" customFormat="1">
      <c r="A124" s="250" t="s">
        <v>110</v>
      </c>
      <c r="B124" s="251"/>
      <c r="C124" s="252" t="s">
        <v>112</v>
      </c>
      <c r="D124" s="253"/>
      <c r="E124" s="254"/>
      <c r="F124" s="254"/>
      <c r="G124" s="254"/>
      <c r="H124" s="254"/>
      <c r="I124" s="255"/>
      <c r="M124" s="157"/>
      <c r="N124" s="157"/>
    </row>
    <row r="125" spans="1:36" s="7" customFormat="1">
      <c r="A125" s="39"/>
      <c r="B125" s="10" t="s">
        <v>38</v>
      </c>
      <c r="C125" s="9"/>
      <c r="D125" s="9"/>
      <c r="E125" s="207">
        <f>E123/E67</f>
        <v>2.5480122429763838</v>
      </c>
      <c r="F125" s="207">
        <f>F123/F67</f>
        <v>2.8138707241752403</v>
      </c>
      <c r="G125" s="207">
        <f>G123/G67</f>
        <v>2.5161750223280959</v>
      </c>
      <c r="H125" s="207">
        <f>H123/H67</f>
        <v>0.5379408024811817</v>
      </c>
      <c r="I125" s="90">
        <f>I123/I67</f>
        <v>0.29414152992784964</v>
      </c>
      <c r="M125" s="157"/>
      <c r="N125" s="157"/>
    </row>
    <row r="126" spans="1:36" s="7" customFormat="1">
      <c r="A126" s="39"/>
      <c r="B126" s="10" t="s">
        <v>44</v>
      </c>
      <c r="C126" s="9" t="s">
        <v>75</v>
      </c>
      <c r="D126" s="9"/>
      <c r="E126" s="134">
        <f>E75*E12/E11</f>
        <v>1240.4668181818181</v>
      </c>
      <c r="F126" s="134">
        <f>F75*F12/F11</f>
        <v>1296.3416666666665</v>
      </c>
      <c r="G126" s="189">
        <f>G75*G12/G11</f>
        <v>1145.088</v>
      </c>
      <c r="H126" s="189">
        <f>H75*H12/H11</f>
        <v>9423.1200000000008</v>
      </c>
      <c r="I126" s="50">
        <f>I75*I12/I11</f>
        <v>11624.277777777777</v>
      </c>
      <c r="M126" s="157"/>
      <c r="N126" s="157"/>
    </row>
    <row r="127" spans="1:36" s="7" customFormat="1">
      <c r="A127" s="39"/>
      <c r="B127" s="10" t="s">
        <v>45</v>
      </c>
      <c r="C127" s="9"/>
      <c r="D127" s="9"/>
      <c r="E127" s="275">
        <f>E126*8.76</f>
        <v>10866.489327272726</v>
      </c>
      <c r="F127" s="275">
        <f>F126*8.76</f>
        <v>11355.952999999998</v>
      </c>
      <c r="G127" s="275">
        <f>G126*8.76</f>
        <v>10030.970879999999</v>
      </c>
      <c r="H127" s="275">
        <f>H126*8.76</f>
        <v>82546.531200000012</v>
      </c>
      <c r="I127" s="276">
        <f>I126*8.76</f>
        <v>101828.67333333332</v>
      </c>
      <c r="M127" s="157"/>
      <c r="N127" s="157"/>
    </row>
    <row r="128" spans="1:36" s="7" customFormat="1">
      <c r="A128" s="39"/>
      <c r="B128" s="10" t="s">
        <v>46</v>
      </c>
      <c r="C128" s="9"/>
      <c r="D128" s="9"/>
      <c r="E128" s="277">
        <f>1000*E123/E127</f>
        <v>677.6572598953544</v>
      </c>
      <c r="F128" s="277">
        <f>1000*F123/F127</f>
        <v>775.57694776198036</v>
      </c>
      <c r="G128" s="277">
        <f>1000*G123/G127</f>
        <v>481.61400333662863</v>
      </c>
      <c r="H128" s="277">
        <f>1000*H123/H127</f>
        <v>139.00374915964491</v>
      </c>
      <c r="I128" s="278">
        <f>1000*I123/I127</f>
        <v>60.804869613816393</v>
      </c>
      <c r="M128" s="157"/>
      <c r="N128" s="157"/>
    </row>
    <row r="129" spans="1:36" s="7" customFormat="1">
      <c r="A129" s="39"/>
      <c r="B129" s="130" t="s">
        <v>120</v>
      </c>
      <c r="C129" s="9" t="s">
        <v>111</v>
      </c>
      <c r="D129" s="107">
        <v>0.1</v>
      </c>
      <c r="E129" s="208">
        <f>E127*$D$129</f>
        <v>1086.6489327272727</v>
      </c>
      <c r="F129" s="208">
        <f>F127*$D$129</f>
        <v>1135.5952999999997</v>
      </c>
      <c r="G129" s="208">
        <f>G127*$D$129</f>
        <v>1003.097088</v>
      </c>
      <c r="H129" s="208">
        <f>H127*$D$129</f>
        <v>8254.6531200000009</v>
      </c>
      <c r="I129" s="129">
        <f>I127*$D$129</f>
        <v>10182.867333333334</v>
      </c>
      <c r="M129" s="157"/>
      <c r="N129" s="157"/>
    </row>
    <row r="130" spans="1:36" s="7" customFormat="1">
      <c r="A130" s="39"/>
      <c r="B130" s="130" t="s">
        <v>120</v>
      </c>
      <c r="C130" s="9" t="s">
        <v>111</v>
      </c>
      <c r="D130" s="107">
        <v>0.12</v>
      </c>
      <c r="E130" s="208">
        <f>E127*$D$130</f>
        <v>1303.9787192727269</v>
      </c>
      <c r="F130" s="208">
        <f>F127*$D$130</f>
        <v>1362.7143599999997</v>
      </c>
      <c r="G130" s="208">
        <f>G127*$D$130</f>
        <v>1203.7165055999999</v>
      </c>
      <c r="H130" s="208">
        <f>H127*$D$130</f>
        <v>9905.5837440000014</v>
      </c>
      <c r="I130" s="129">
        <f>I127*$D$130</f>
        <v>12219.440799999998</v>
      </c>
      <c r="M130" s="157"/>
      <c r="N130" s="157"/>
    </row>
    <row r="131" spans="1:36" s="7" customFormat="1">
      <c r="A131" s="39"/>
      <c r="B131" s="130" t="s">
        <v>120</v>
      </c>
      <c r="C131" s="9" t="s">
        <v>111</v>
      </c>
      <c r="D131" s="107">
        <v>0.14000000000000001</v>
      </c>
      <c r="E131" s="208">
        <f>E127*$D$131</f>
        <v>1521.3085058181819</v>
      </c>
      <c r="F131" s="208">
        <f>F127*$D$131</f>
        <v>1589.8334199999999</v>
      </c>
      <c r="G131" s="208">
        <f>G127*$D$131</f>
        <v>1404.3359232</v>
      </c>
      <c r="H131" s="208">
        <f>H127*$D$131</f>
        <v>11556.514368000002</v>
      </c>
      <c r="I131" s="129">
        <f>I127*$D$131</f>
        <v>14256.014266666667</v>
      </c>
      <c r="M131" s="157"/>
      <c r="N131" s="157"/>
    </row>
    <row r="132" spans="1:36" s="7" customFormat="1">
      <c r="A132" s="39"/>
      <c r="B132" s="10" t="s">
        <v>39</v>
      </c>
      <c r="C132" s="9"/>
      <c r="D132" s="22"/>
      <c r="E132" s="124">
        <v>50</v>
      </c>
      <c r="F132" s="124">
        <v>50</v>
      </c>
      <c r="G132" s="124">
        <v>50</v>
      </c>
      <c r="H132" s="124">
        <v>50</v>
      </c>
      <c r="I132" s="125">
        <v>50</v>
      </c>
      <c r="M132" s="157"/>
      <c r="N132" s="157"/>
      <c r="AD132" s="6"/>
      <c r="AE132" s="6"/>
      <c r="AF132" s="6"/>
      <c r="AG132" s="6"/>
    </row>
    <row r="133" spans="1:36" s="7" customFormat="1">
      <c r="A133" s="40"/>
      <c r="B133" s="79" t="str">
        <f>"Capital charges "&amp;D133*100&amp;"%"</f>
        <v>Capital charges 8%</v>
      </c>
      <c r="C133" s="9"/>
      <c r="D133" s="123">
        <v>0.08</v>
      </c>
      <c r="E133" s="191">
        <f>E123*$D$133</f>
        <v>589.10043057613996</v>
      </c>
      <c r="F133" s="191">
        <f>F123*$D$133</f>
        <v>704.59322933348017</v>
      </c>
      <c r="G133" s="191">
        <f>G123*$D$133</f>
        <v>386.48448342959551</v>
      </c>
      <c r="H133" s="191">
        <f>H123*$D$133</f>
        <v>917.94218535388848</v>
      </c>
      <c r="I133" s="41">
        <f>I123*$D$133</f>
        <v>495.33433639849881</v>
      </c>
      <c r="M133" s="157"/>
      <c r="N133" s="157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H133" s="6"/>
      <c r="AI133" s="6"/>
      <c r="AJ133" s="6"/>
    </row>
    <row r="134" spans="1:36" s="6" customFormat="1" ht="13">
      <c r="A134" s="40"/>
      <c r="B134" s="15" t="s">
        <v>10</v>
      </c>
      <c r="C134" s="9"/>
      <c r="D134" s="13"/>
      <c r="E134" s="191">
        <f>E133+E132</f>
        <v>639.10043057613996</v>
      </c>
      <c r="F134" s="191">
        <f>F133+F132</f>
        <v>754.59322933348017</v>
      </c>
      <c r="G134" s="191">
        <f>G133+G132</f>
        <v>436.48448342959551</v>
      </c>
      <c r="H134" s="191">
        <f>H133+H132</f>
        <v>967.94218535388848</v>
      </c>
      <c r="I134" s="41">
        <f>I133+I132</f>
        <v>545.33433639849886</v>
      </c>
      <c r="M134" s="166"/>
      <c r="N134" s="166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11"/>
      <c r="AE134" s="11"/>
      <c r="AF134" s="11"/>
      <c r="AG134" s="11"/>
      <c r="AH134" s="7"/>
      <c r="AI134" s="7"/>
      <c r="AJ134" s="7"/>
    </row>
    <row r="135" spans="1:36" s="7" customFormat="1" ht="13">
      <c r="A135" s="40"/>
      <c r="B135" s="15" t="s">
        <v>14</v>
      </c>
      <c r="C135" s="9" t="s">
        <v>111</v>
      </c>
      <c r="D135" s="13">
        <f>D129</f>
        <v>0.1</v>
      </c>
      <c r="E135" s="191">
        <f>E129-E$134</f>
        <v>447.54850215113277</v>
      </c>
      <c r="F135" s="191">
        <f t="shared" ref="F135:G137" si="5">F129-F$134</f>
        <v>381.00207066651956</v>
      </c>
      <c r="G135" s="191">
        <f t="shared" si="5"/>
        <v>566.61260457040453</v>
      </c>
      <c r="H135" s="191">
        <f t="shared" ref="H135:I137" si="6">H129-H$134</f>
        <v>7286.710934646112</v>
      </c>
      <c r="I135" s="41">
        <f t="shared" si="6"/>
        <v>9637.532996934835</v>
      </c>
      <c r="M135" s="157"/>
      <c r="N135" s="157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</row>
    <row r="136" spans="1:36" s="11" customFormat="1" ht="13">
      <c r="A136" s="40"/>
      <c r="B136" s="15" t="s">
        <v>14</v>
      </c>
      <c r="C136" s="9" t="s">
        <v>111</v>
      </c>
      <c r="D136" s="13">
        <f>D130</f>
        <v>0.12</v>
      </c>
      <c r="E136" s="191">
        <f>E130-E$134</f>
        <v>664.87828869658699</v>
      </c>
      <c r="F136" s="191">
        <f t="shared" si="5"/>
        <v>608.12113066651955</v>
      </c>
      <c r="G136" s="191">
        <f t="shared" si="5"/>
        <v>767.23202217040443</v>
      </c>
      <c r="H136" s="191">
        <f t="shared" si="6"/>
        <v>8937.6415586461135</v>
      </c>
      <c r="I136" s="41">
        <f t="shared" si="6"/>
        <v>11674.1064636015</v>
      </c>
      <c r="M136" s="167"/>
      <c r="N136" s="167"/>
      <c r="AD136"/>
      <c r="AE136"/>
      <c r="AF136"/>
      <c r="AG136"/>
    </row>
    <row r="137" spans="1:36" s="11" customFormat="1" ht="13">
      <c r="A137" s="40"/>
      <c r="B137" s="15" t="s">
        <v>14</v>
      </c>
      <c r="C137" s="9" t="s">
        <v>111</v>
      </c>
      <c r="D137" s="13">
        <f>D131</f>
        <v>0.14000000000000001</v>
      </c>
      <c r="E137" s="191">
        <f>E131-E$134</f>
        <v>882.2080752420419</v>
      </c>
      <c r="F137" s="191">
        <f t="shared" si="5"/>
        <v>835.24019066651977</v>
      </c>
      <c r="G137" s="191">
        <f t="shared" si="5"/>
        <v>967.85143977040457</v>
      </c>
      <c r="H137" s="191">
        <f t="shared" si="6"/>
        <v>10588.572182646114</v>
      </c>
      <c r="I137" s="41">
        <f t="shared" si="6"/>
        <v>13710.679930268168</v>
      </c>
      <c r="M137" s="167"/>
      <c r="N137" s="16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1:36" ht="13">
      <c r="A138" s="42"/>
      <c r="B138" s="15" t="s">
        <v>47</v>
      </c>
      <c r="C138" s="9" t="s">
        <v>111</v>
      </c>
      <c r="D138" s="13">
        <f>D129</f>
        <v>0.1</v>
      </c>
      <c r="E138" s="209">
        <f>E135/$E$123</f>
        <v>6.0777209307204962E-2</v>
      </c>
      <c r="F138" s="209">
        <f>F135/$F$123</f>
        <v>4.3259237222808264E-2</v>
      </c>
      <c r="G138" s="209">
        <f>G135/$G$123</f>
        <v>0.11728545467955323</v>
      </c>
      <c r="H138" s="209">
        <f>H135/$G$123</f>
        <v>1.508306024601064</v>
      </c>
      <c r="I138" s="256">
        <f>I135/$G$123</f>
        <v>1.994912274130761</v>
      </c>
    </row>
    <row r="139" spans="1:36" ht="13">
      <c r="A139" s="42"/>
      <c r="B139" s="15" t="str">
        <f>B138</f>
        <v>Return on scheme cost</v>
      </c>
      <c r="C139" s="9" t="s">
        <v>111</v>
      </c>
      <c r="D139" s="13">
        <f>D130</f>
        <v>0.12</v>
      </c>
      <c r="E139" s="209">
        <f>E136/$E$123</f>
        <v>9.0290653910585175E-2</v>
      </c>
      <c r="F139" s="209">
        <f>F136/$F$123</f>
        <v>6.9046491547105016E-2</v>
      </c>
      <c r="G139" s="209">
        <f t="shared" ref="G139:I140" si="7">G136/$G$123</f>
        <v>0.15881248641334775</v>
      </c>
      <c r="H139" s="209">
        <f t="shared" si="7"/>
        <v>1.8500388899104152</v>
      </c>
      <c r="I139" s="256">
        <f t="shared" si="7"/>
        <v>2.4164709247848766</v>
      </c>
    </row>
    <row r="140" spans="1:36" ht="14" thickBot="1">
      <c r="A140" s="72"/>
      <c r="B140" s="91" t="str">
        <f>B139</f>
        <v>Return on scheme cost</v>
      </c>
      <c r="C140" s="257" t="s">
        <v>111</v>
      </c>
      <c r="D140" s="86">
        <f>D131</f>
        <v>0.14000000000000001</v>
      </c>
      <c r="E140" s="258">
        <f>E137/$E$123</f>
        <v>0.11980409851396549</v>
      </c>
      <c r="F140" s="258">
        <f>F137/$F$123</f>
        <v>9.4833745871401795E-2</v>
      </c>
      <c r="G140" s="258">
        <f t="shared" si="7"/>
        <v>0.20033951814714229</v>
      </c>
      <c r="H140" s="258">
        <f t="shared" si="7"/>
        <v>2.191771755219766</v>
      </c>
      <c r="I140" s="259">
        <f t="shared" si="7"/>
        <v>2.838029575438993</v>
      </c>
      <c r="AD140" s="23"/>
      <c r="AE140" s="23"/>
      <c r="AF140" s="23"/>
      <c r="AG140" s="23"/>
    </row>
    <row r="141" spans="1:36" ht="13">
      <c r="A141" s="20"/>
      <c r="B141" s="15"/>
      <c r="C141" s="13"/>
      <c r="D141" s="13"/>
      <c r="E141" s="13"/>
      <c r="F141" s="13"/>
      <c r="G141" s="13"/>
      <c r="H141" s="13"/>
      <c r="I141" s="1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</row>
    <row r="142" spans="1:36" s="23" customFormat="1" ht="13">
      <c r="A142" s="20"/>
      <c r="B142" s="15"/>
      <c r="C142" s="13"/>
      <c r="D142" s="13"/>
      <c r="E142" s="13"/>
      <c r="F142" s="13"/>
      <c r="G142" s="13"/>
      <c r="H142" s="13"/>
      <c r="I142" s="13"/>
      <c r="M142" s="168"/>
      <c r="N142" s="168"/>
    </row>
    <row r="143" spans="1:36" s="23" customFormat="1" ht="13">
      <c r="A143" s="20"/>
      <c r="B143" s="15"/>
      <c r="C143" s="13"/>
      <c r="D143" s="13"/>
      <c r="E143" s="13"/>
      <c r="F143" s="13"/>
      <c r="G143" s="13"/>
      <c r="H143" s="13"/>
      <c r="I143" s="13"/>
      <c r="M143" s="168"/>
      <c r="N143" s="168"/>
    </row>
    <row r="144" spans="1:36" s="23" customFormat="1" ht="13">
      <c r="A144" s="20"/>
      <c r="B144" s="15"/>
      <c r="C144" s="13"/>
      <c r="D144" s="61"/>
      <c r="E144" s="13"/>
      <c r="F144" s="13"/>
      <c r="G144" s="13"/>
      <c r="H144" s="13"/>
      <c r="I144" s="13"/>
      <c r="M144" s="168"/>
      <c r="N144" s="168"/>
    </row>
    <row r="145" spans="1:36" s="23" customFormat="1" ht="13">
      <c r="A145" s="20"/>
      <c r="B145" s="15"/>
      <c r="C145" s="13"/>
      <c r="D145" s="13"/>
      <c r="E145" s="62"/>
      <c r="F145" s="62"/>
      <c r="G145" s="62"/>
      <c r="H145" s="62"/>
      <c r="I145" s="62"/>
      <c r="M145" s="168"/>
      <c r="N145" s="168"/>
    </row>
    <row r="146" spans="1:36" s="23" customFormat="1" ht="13">
      <c r="A146" s="20"/>
      <c r="B146" s="15"/>
      <c r="C146" s="63"/>
      <c r="D146" s="63"/>
      <c r="E146" s="62"/>
      <c r="F146" s="62"/>
      <c r="G146" s="62"/>
      <c r="H146" s="62"/>
      <c r="I146" s="62"/>
      <c r="M146" s="168"/>
      <c r="N146" s="168"/>
    </row>
    <row r="147" spans="1:36" s="23" customFormat="1" ht="13">
      <c r="A147" s="20"/>
      <c r="B147" s="15"/>
      <c r="C147" s="63"/>
      <c r="D147" s="63"/>
      <c r="E147" s="62"/>
      <c r="F147" s="62"/>
      <c r="G147" s="62"/>
      <c r="H147" s="62"/>
      <c r="I147" s="62"/>
      <c r="M147" s="168"/>
      <c r="N147" s="168"/>
      <c r="AD147"/>
      <c r="AE147"/>
      <c r="AF147"/>
      <c r="AG147"/>
    </row>
    <row r="148" spans="1:36" s="23" customFormat="1" ht="13">
      <c r="A148" s="20"/>
      <c r="B148" s="15"/>
      <c r="C148" s="63"/>
      <c r="D148" s="63"/>
      <c r="E148" s="62"/>
      <c r="F148" s="62"/>
      <c r="G148" s="62"/>
      <c r="H148" s="62"/>
      <c r="I148" s="62"/>
      <c r="M148" s="168"/>
      <c r="N148" s="16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:36">
      <c r="A149" s="20"/>
      <c r="B149" s="15"/>
      <c r="C149" s="63"/>
      <c r="D149" s="63"/>
      <c r="E149" s="62"/>
      <c r="F149" s="62"/>
      <c r="G149" s="62"/>
      <c r="H149" s="62"/>
      <c r="I149" s="62"/>
    </row>
    <row r="150" spans="1:36">
      <c r="A150" s="20"/>
      <c r="B150" s="15"/>
      <c r="C150" s="63"/>
      <c r="D150" s="63"/>
      <c r="E150" s="62"/>
      <c r="F150" s="62"/>
      <c r="G150" s="62"/>
      <c r="H150" s="62"/>
      <c r="I150" s="62"/>
    </row>
    <row r="151" spans="1:36">
      <c r="A151" s="20"/>
      <c r="B151" s="15"/>
      <c r="C151" s="63"/>
      <c r="D151" s="63"/>
      <c r="E151" s="62"/>
      <c r="F151" s="62"/>
      <c r="G151" s="62"/>
      <c r="H151" s="62"/>
      <c r="I151" s="62"/>
    </row>
    <row r="152" spans="1:36">
      <c r="A152" s="20"/>
      <c r="B152" s="15"/>
      <c r="C152" s="63"/>
      <c r="D152" s="63"/>
      <c r="E152" s="62"/>
      <c r="F152" s="62"/>
      <c r="G152" s="62"/>
      <c r="H152" s="62"/>
      <c r="I152" s="62"/>
    </row>
    <row r="153" spans="1:36">
      <c r="A153" s="20"/>
      <c r="B153" s="15"/>
      <c r="C153" s="63"/>
      <c r="D153" s="63"/>
      <c r="E153" s="62"/>
      <c r="F153" s="62"/>
      <c r="G153" s="62"/>
      <c r="H153" s="62"/>
      <c r="I153" s="62"/>
    </row>
    <row r="154" spans="1:36">
      <c r="A154" s="20"/>
      <c r="B154" s="15"/>
      <c r="C154" s="63"/>
      <c r="D154" s="63"/>
      <c r="E154" s="62"/>
      <c r="F154" s="62"/>
      <c r="G154" s="62"/>
      <c r="H154" s="62"/>
      <c r="I154" s="62"/>
    </row>
    <row r="155" spans="1:36">
      <c r="A155" s="20"/>
      <c r="B155" s="15"/>
      <c r="C155" s="63"/>
      <c r="D155" s="63"/>
      <c r="E155" s="62"/>
      <c r="F155" s="62"/>
      <c r="G155" s="62"/>
      <c r="H155" s="62"/>
      <c r="I155" s="62"/>
    </row>
    <row r="156" spans="1:36">
      <c r="A156" s="20"/>
      <c r="B156" s="15"/>
      <c r="C156" s="63"/>
      <c r="D156" s="63"/>
      <c r="E156" s="62"/>
      <c r="F156" s="62"/>
      <c r="G156" s="62"/>
      <c r="H156" s="62"/>
      <c r="I156" s="62"/>
    </row>
    <row r="157" spans="1:36">
      <c r="A157" s="20"/>
      <c r="B157" s="15"/>
      <c r="C157" s="63"/>
      <c r="D157" s="63"/>
      <c r="E157" s="62"/>
      <c r="F157" s="62"/>
      <c r="G157" s="62"/>
      <c r="H157" s="62"/>
      <c r="I157" s="62"/>
    </row>
    <row r="158" spans="1:36">
      <c r="A158" s="20"/>
      <c r="B158" s="15"/>
      <c r="C158" s="63"/>
      <c r="D158" s="63"/>
      <c r="E158" s="62"/>
      <c r="F158" s="62"/>
      <c r="G158" s="62"/>
      <c r="H158" s="62"/>
      <c r="I158" s="62"/>
    </row>
    <row r="159" spans="1:36">
      <c r="A159" s="20"/>
      <c r="B159" s="15"/>
      <c r="C159" s="13"/>
      <c r="D159" s="13"/>
      <c r="E159" s="13"/>
      <c r="F159" s="13"/>
      <c r="G159" s="13"/>
      <c r="H159" s="13"/>
      <c r="I159" s="13"/>
    </row>
    <row r="160" spans="1:36">
      <c r="A160" s="20"/>
      <c r="B160" s="15"/>
      <c r="C160" s="13"/>
      <c r="D160" s="13"/>
      <c r="E160" s="13"/>
      <c r="F160" s="13"/>
      <c r="G160" s="13"/>
      <c r="H160" s="13"/>
      <c r="I160" s="13"/>
    </row>
    <row r="161" spans="1:9">
      <c r="A161" s="20"/>
      <c r="B161" s="15"/>
      <c r="C161" s="13"/>
      <c r="D161" s="13"/>
      <c r="E161" s="13"/>
      <c r="F161" s="13"/>
      <c r="G161" s="13"/>
      <c r="H161" s="13"/>
      <c r="I161" s="13"/>
    </row>
    <row r="162" spans="1:9">
      <c r="A162" s="20"/>
      <c r="B162" s="15"/>
      <c r="C162" s="13"/>
      <c r="D162" s="13"/>
      <c r="E162" s="13"/>
      <c r="F162" s="13"/>
      <c r="G162" s="13"/>
      <c r="H162" s="13"/>
      <c r="I162" s="13"/>
    </row>
    <row r="163" spans="1:9">
      <c r="A163" s="20"/>
      <c r="B163" s="15"/>
      <c r="C163" s="13"/>
      <c r="D163" s="13"/>
      <c r="E163" s="13"/>
      <c r="F163" s="13"/>
      <c r="G163" s="13"/>
      <c r="H163" s="13"/>
      <c r="I163" s="13"/>
    </row>
    <row r="164" spans="1:9">
      <c r="A164" s="20"/>
      <c r="B164" s="15"/>
      <c r="C164" s="13"/>
      <c r="D164" s="13"/>
      <c r="E164" s="13"/>
      <c r="F164" s="13"/>
      <c r="G164" s="13"/>
      <c r="H164" s="13"/>
      <c r="I164" s="13"/>
    </row>
    <row r="165" spans="1:9">
      <c r="A165" s="20"/>
      <c r="B165" s="15"/>
      <c r="C165" s="13"/>
      <c r="D165" s="13"/>
      <c r="E165" s="13"/>
      <c r="F165" s="13"/>
      <c r="G165" s="13"/>
      <c r="H165" s="13"/>
      <c r="I165" s="13"/>
    </row>
    <row r="166" spans="1:9">
      <c r="A166" s="20"/>
      <c r="B166" s="15"/>
      <c r="C166" s="13"/>
      <c r="D166" s="13"/>
      <c r="E166" s="13"/>
      <c r="F166" s="13"/>
      <c r="G166" s="13"/>
      <c r="H166" s="13"/>
      <c r="I166" s="13"/>
    </row>
    <row r="167" spans="1:9">
      <c r="A167" s="20"/>
      <c r="B167" s="15"/>
      <c r="C167" s="13"/>
      <c r="D167" s="13"/>
      <c r="E167" s="13"/>
      <c r="F167" s="13"/>
      <c r="G167" s="13"/>
      <c r="H167" s="13"/>
      <c r="I167" s="13"/>
    </row>
    <row r="168" spans="1:9">
      <c r="A168" s="20"/>
      <c r="B168" s="15"/>
      <c r="C168" s="13"/>
      <c r="D168" s="13"/>
      <c r="E168" s="13"/>
      <c r="F168" s="13"/>
      <c r="G168" s="13"/>
      <c r="H168" s="13"/>
      <c r="I168" s="13"/>
    </row>
    <row r="169" spans="1:9">
      <c r="A169" s="20"/>
      <c r="B169" s="15"/>
      <c r="C169" s="13"/>
      <c r="D169" s="13"/>
      <c r="E169" s="13"/>
      <c r="F169" s="13"/>
      <c r="G169" s="13"/>
      <c r="H169" s="13"/>
      <c r="I169" s="13"/>
    </row>
    <row r="170" spans="1:9">
      <c r="A170" s="20"/>
      <c r="B170" s="15"/>
      <c r="C170" s="13"/>
      <c r="D170" s="13"/>
      <c r="E170" s="13"/>
      <c r="F170" s="13"/>
      <c r="G170" s="13"/>
      <c r="H170" s="13"/>
      <c r="I170" s="13"/>
    </row>
    <row r="171" spans="1:9">
      <c r="A171" s="20"/>
      <c r="B171" s="15"/>
      <c r="C171" s="13"/>
      <c r="D171" s="13"/>
      <c r="E171" s="13"/>
      <c r="F171" s="13"/>
      <c r="G171" s="13"/>
      <c r="H171" s="13"/>
      <c r="I171" s="13"/>
    </row>
    <row r="172" spans="1:9">
      <c r="A172" s="20"/>
      <c r="B172" s="15"/>
      <c r="C172" s="13"/>
      <c r="D172" s="13"/>
      <c r="E172" s="13"/>
      <c r="F172" s="13"/>
      <c r="G172" s="13"/>
      <c r="H172" s="13"/>
      <c r="I172" s="13"/>
    </row>
    <row r="173" spans="1:9">
      <c r="A173" s="20"/>
      <c r="B173" s="15"/>
      <c r="C173" s="13"/>
      <c r="D173" s="13"/>
      <c r="E173" s="13"/>
      <c r="F173" s="13"/>
      <c r="G173" s="13"/>
      <c r="H173" s="13"/>
      <c r="I173" s="13"/>
    </row>
    <row r="174" spans="1:9">
      <c r="A174" s="20"/>
      <c r="B174" s="15"/>
      <c r="C174" s="13"/>
      <c r="D174" s="13"/>
      <c r="E174" s="13"/>
      <c r="F174" s="13"/>
      <c r="G174" s="13"/>
      <c r="H174" s="13"/>
      <c r="I174" s="13"/>
    </row>
    <row r="175" spans="1:9">
      <c r="A175" s="20"/>
      <c r="B175" s="15"/>
      <c r="C175" s="13"/>
      <c r="D175" s="13"/>
      <c r="E175" s="13"/>
      <c r="F175" s="13"/>
      <c r="G175" s="13"/>
      <c r="H175" s="13"/>
      <c r="I175" s="13"/>
    </row>
    <row r="176" spans="1:9">
      <c r="A176" s="20"/>
      <c r="B176" s="15"/>
      <c r="C176" s="13"/>
      <c r="D176" s="13"/>
      <c r="E176" s="13"/>
      <c r="F176" s="13"/>
      <c r="G176" s="13"/>
      <c r="H176" s="13"/>
      <c r="I176" s="13"/>
    </row>
  </sheetData>
  <sheetProtection insertColumns="0" insertRows="0"/>
  <phoneticPr fontId="11"/>
  <printOptions horizontalCentered="1" verticalCentered="1"/>
  <pageMargins left="1.1811023622047245" right="0.11811023622047245" top="0.19685039370078741" bottom="0.82677165354330717" header="0.51181102362204722" footer="0.51181102362204722"/>
  <pageSetup scale="57" fitToHeight="0" orientation="portrait" horizontalDpi="4294967292" verticalDpi="4294967292"/>
  <headerFooter>
    <oddFooter>&amp;L&amp;F&amp;CPage &amp;P&amp;RSinclair Knight Merz / Leyland Consultants Ltd</oddFooter>
  </headerFooter>
  <rowBreaks count="1" manualBreakCount="1">
    <brk id="75" max="8" man="1"/>
  </rowBreaks>
  <drawing r:id="rId1"/>
  <legacyDrawing r:id="rId2"/>
  <oleObjects>
    <mc:AlternateContent xmlns:mc="http://schemas.openxmlformats.org/markup-compatibility/2006">
      <mc:Choice Requires="x14">
        <oleObject progId="AutoCAD.Drawing.17" shapeId="1027" r:id="rId3">
          <objectPr defaultSize="0" autoPict="0" r:id="rId4">
            <anchor moveWithCells="1">
              <from>
                <xdr:col>14</xdr:col>
                <xdr:colOff>190500</xdr:colOff>
                <xdr:row>11</xdr:row>
                <xdr:rowOff>50800</xdr:rowOff>
              </from>
              <to>
                <xdr:col>18</xdr:col>
                <xdr:colOff>50800</xdr:colOff>
                <xdr:row>18</xdr:row>
                <xdr:rowOff>25400</xdr:rowOff>
              </to>
            </anchor>
          </objectPr>
        </oleObject>
      </mc:Choice>
      <mc:Fallback>
        <oleObject progId="AutoCAD.Drawing.17" shapeId="1027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MASTER</vt:lpstr>
      <vt:lpstr>Hn</vt:lpstr>
      <vt:lpstr>K</vt:lpstr>
      <vt:lpstr>Kc</vt:lpstr>
      <vt:lpstr>kW</vt:lpstr>
      <vt:lpstr>MASTER!Print_Titles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Nena</dc:title>
  <dc:creator>Bryan Leyland</dc:creator>
  <cp:lastModifiedBy>Microsoft Office User</cp:lastModifiedBy>
  <cp:lastPrinted>2004-11-21T08:46:56Z</cp:lastPrinted>
  <dcterms:created xsi:type="dcterms:W3CDTF">1999-10-04T23:01:08Z</dcterms:created>
  <dcterms:modified xsi:type="dcterms:W3CDTF">2019-12-18T05:55:48Z</dcterms:modified>
</cp:coreProperties>
</file>